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yh\Desktop\New website\"/>
    </mc:Choice>
  </mc:AlternateContent>
  <xr:revisionPtr revIDLastSave="0" documentId="8_{C98BB687-2CAD-48C0-B38E-9C85FC4D9179}" xr6:coauthVersionLast="45" xr6:coauthVersionMax="45" xr10:uidLastSave="{00000000-0000-0000-0000-000000000000}"/>
  <bookViews>
    <workbookView xWindow="1965" yWindow="1320" windowWidth="16275" windowHeight="14715" xr2:uid="{00000000-000D-0000-FFFF-FFFF00000000}"/>
  </bookViews>
  <sheets>
    <sheet name="budget" sheetId="1" r:id="rId1"/>
    <sheet name="mil calc" sheetId="2" r:id="rId2"/>
    <sheet name="cap out" sheetId="3" r:id="rId3"/>
  </sheets>
  <definedNames>
    <definedName name="_xlnm.Print_Area" localSheetId="0">budget!$A$1:$G$2415</definedName>
    <definedName name="_xlnm.Print_Area" localSheetId="1">'mil calc'!$A$110:$G$326</definedName>
    <definedName name="_xlnm.Print_Titles" localSheetId="0">budget!$3:$4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73" i="1" l="1"/>
  <c r="G972" i="1"/>
  <c r="G787" i="1"/>
  <c r="G786" i="1"/>
  <c r="G758" i="1"/>
  <c r="G757" i="1"/>
  <c r="G596" i="1"/>
  <c r="G600" i="1"/>
  <c r="G599" i="1"/>
  <c r="G307" i="1"/>
  <c r="G306" i="1"/>
  <c r="G197" i="1"/>
  <c r="G196" i="1"/>
  <c r="G137" i="1"/>
  <c r="E137" i="1"/>
  <c r="G1347" i="1"/>
  <c r="G1346" i="1"/>
  <c r="G1343" i="1"/>
  <c r="E1579" i="1"/>
  <c r="G1586" i="1" l="1"/>
  <c r="E1586" i="1"/>
  <c r="E1347" i="1" l="1"/>
  <c r="E1346" i="1"/>
  <c r="E1343" i="1"/>
  <c r="E973" i="1"/>
  <c r="E972" i="1"/>
  <c r="E970" i="1"/>
  <c r="E125" i="1" l="1"/>
  <c r="E758" i="1" l="1"/>
  <c r="E757" i="1"/>
  <c r="E754" i="1"/>
  <c r="E787" i="1"/>
  <c r="E786" i="1"/>
  <c r="E784" i="1"/>
  <c r="E783" i="1"/>
  <c r="D1449" i="1" l="1"/>
  <c r="D1448" i="1"/>
  <c r="D1397" i="1"/>
  <c r="D1033" i="1"/>
  <c r="D969" i="1"/>
  <c r="D2178" i="1"/>
  <c r="D2146" i="1"/>
  <c r="D2116" i="1"/>
  <c r="D1983" i="1"/>
  <c r="D1898" i="1"/>
  <c r="D1853" i="1"/>
  <c r="D1822" i="1"/>
  <c r="D1804" i="1"/>
  <c r="D1772" i="1"/>
  <c r="D1740" i="1"/>
  <c r="D1712" i="1"/>
  <c r="D1688" i="1"/>
  <c r="D1658" i="1"/>
  <c r="D1634" i="1"/>
  <c r="D1619" i="1"/>
  <c r="D1595" i="1"/>
  <c r="D2303" i="1"/>
  <c r="D871" i="1"/>
  <c r="D870" i="1"/>
  <c r="D869" i="1"/>
  <c r="D868" i="1"/>
  <c r="D866" i="1"/>
  <c r="D865" i="1"/>
  <c r="D864" i="1"/>
  <c r="D843" i="1"/>
  <c r="D811" i="1"/>
  <c r="D781" i="1"/>
  <c r="D752" i="1"/>
  <c r="D339" i="1"/>
  <c r="D593" i="1"/>
  <c r="D229" i="1"/>
  <c r="D160" i="1"/>
  <c r="D132" i="1"/>
  <c r="E1096" i="1" l="1"/>
  <c r="E600" i="1"/>
  <c r="E599" i="1"/>
  <c r="E596" i="1"/>
  <c r="F2405" i="1"/>
  <c r="E2405" i="1"/>
  <c r="G66" i="1"/>
  <c r="E196" i="1" l="1"/>
  <c r="E197" i="1"/>
  <c r="E193" i="1"/>
  <c r="E406" i="1"/>
  <c r="D2405" i="1" l="1"/>
  <c r="E626" i="1" l="1"/>
  <c r="G570" i="1" l="1"/>
  <c r="G564" i="1"/>
  <c r="E570" i="1" l="1"/>
  <c r="E564" i="1"/>
  <c r="E738" i="1" l="1"/>
  <c r="F570" i="1" l="1"/>
  <c r="F564" i="1"/>
  <c r="D564" i="1"/>
  <c r="E2361" i="1" l="1"/>
  <c r="G2175" i="1" l="1"/>
  <c r="G2141" i="1"/>
  <c r="G1577" i="1"/>
  <c r="G1250" i="1"/>
  <c r="I985" i="1"/>
  <c r="D2214" i="1"/>
  <c r="D1965" i="1"/>
  <c r="D1577" i="1"/>
  <c r="D92" i="1"/>
  <c r="C1250" i="1"/>
  <c r="E1250" i="1"/>
  <c r="I729" i="1" l="1"/>
  <c r="E389" i="1"/>
  <c r="E2309" i="1" l="1"/>
  <c r="E2175" i="1" l="1"/>
  <c r="E2214" i="1"/>
  <c r="E2141" i="1"/>
  <c r="E1577" i="1"/>
  <c r="E307" i="1" l="1"/>
  <c r="E306" i="1"/>
  <c r="E2399" i="1"/>
  <c r="G1136" i="1" l="1"/>
  <c r="C1136" i="1"/>
  <c r="D1136" i="1"/>
  <c r="E1136" i="1"/>
  <c r="F1136" i="1"/>
  <c r="F1046" i="1"/>
  <c r="F2141" i="1"/>
  <c r="E2247" i="1" l="1"/>
  <c r="D2247" i="1"/>
  <c r="C2247" i="1"/>
  <c r="F2247" i="1"/>
  <c r="G2247" i="1"/>
  <c r="E2256" i="1"/>
  <c r="D2256" i="1"/>
  <c r="C2256" i="1"/>
  <c r="F2256" i="1"/>
  <c r="G2256" i="1"/>
  <c r="H1577" i="1" l="1"/>
  <c r="F1577" i="1"/>
  <c r="C1577" i="1"/>
  <c r="G92" i="1" l="1"/>
  <c r="F92" i="1"/>
  <c r="C92" i="1"/>
  <c r="E92" i="1"/>
  <c r="F460" i="1" l="1"/>
  <c r="F2383" i="1" l="1"/>
  <c r="H1630" i="1" l="1"/>
  <c r="G1630" i="1"/>
  <c r="F1630" i="1"/>
  <c r="C1630" i="1"/>
  <c r="D1630" i="1"/>
  <c r="E1630" i="1"/>
  <c r="C2214" i="1" l="1"/>
  <c r="G473" i="1" l="1"/>
  <c r="F473" i="1"/>
  <c r="C473" i="1"/>
  <c r="D473" i="1"/>
  <c r="E473" i="1"/>
  <c r="G448" i="1"/>
  <c r="F448" i="1"/>
  <c r="C448" i="1"/>
  <c r="D448" i="1"/>
  <c r="E448" i="1"/>
  <c r="H2378" i="1"/>
  <c r="G2378" i="1"/>
  <c r="C2378" i="1"/>
  <c r="H1250" i="1"/>
  <c r="C1092" i="1"/>
  <c r="C708" i="1"/>
  <c r="D2276" i="1"/>
  <c r="D1565" i="1"/>
  <c r="D1250" i="1"/>
  <c r="D125" i="1"/>
  <c r="E1565" i="1"/>
  <c r="H1100" i="1" l="1"/>
  <c r="H66" i="1" l="1"/>
  <c r="H629" i="1"/>
  <c r="G629" i="1"/>
  <c r="F629" i="1"/>
  <c r="C629" i="1"/>
  <c r="D629" i="1"/>
  <c r="E629" i="1"/>
  <c r="I628" i="1"/>
  <c r="I627" i="1"/>
  <c r="I626" i="1"/>
  <c r="H33" i="1"/>
  <c r="I32" i="1"/>
  <c r="I31" i="1"/>
  <c r="I629" i="1" l="1"/>
  <c r="J287" i="2"/>
  <c r="C289" i="2"/>
  <c r="I9" i="1"/>
  <c r="H738" i="1"/>
  <c r="I675" i="1"/>
  <c r="H676" i="1"/>
  <c r="F676" i="1"/>
  <c r="C287" i="2" l="1"/>
  <c r="G2214" i="1" l="1"/>
  <c r="F2214" i="1"/>
  <c r="F1565" i="1" l="1"/>
  <c r="C1536" i="1"/>
  <c r="C1565" i="1"/>
  <c r="H2295" i="1"/>
  <c r="B322" i="2" l="1"/>
  <c r="B323" i="2" s="1"/>
  <c r="F314" i="2" s="1"/>
  <c r="G314" i="2"/>
  <c r="G310" i="2"/>
  <c r="E306" i="2"/>
  <c r="G305" i="2"/>
  <c r="F299" i="2"/>
  <c r="C296" i="2"/>
  <c r="D294" i="2"/>
  <c r="B294" i="2"/>
  <c r="C290" i="2"/>
  <c r="C288" i="2"/>
  <c r="C294" i="2" s="1"/>
  <c r="C2412" i="1" l="1"/>
  <c r="G1337" i="1"/>
  <c r="G963" i="1"/>
  <c r="H2227" i="1" l="1"/>
  <c r="G2227" i="1"/>
  <c r="H2214" i="1"/>
  <c r="H2205" i="1"/>
  <c r="G2205" i="1"/>
  <c r="F2205" i="1"/>
  <c r="H2165" i="1"/>
  <c r="G2165" i="1"/>
  <c r="F2165" i="1"/>
  <c r="H2135" i="1"/>
  <c r="G2135" i="1"/>
  <c r="F2135" i="1"/>
  <c r="H2111" i="1"/>
  <c r="G2111" i="1"/>
  <c r="F2111" i="1"/>
  <c r="H2104" i="1"/>
  <c r="G2104" i="1"/>
  <c r="F2104" i="1"/>
  <c r="H1999" i="1"/>
  <c r="G1999" i="1"/>
  <c r="F1999" i="1"/>
  <c r="H1977" i="1"/>
  <c r="G1977" i="1"/>
  <c r="F1977" i="1"/>
  <c r="H1960" i="1"/>
  <c r="G1960" i="1"/>
  <c r="F1960" i="1"/>
  <c r="H1917" i="1"/>
  <c r="G1917" i="1"/>
  <c r="F1917" i="1"/>
  <c r="H1893" i="1"/>
  <c r="G1893" i="1"/>
  <c r="F1893" i="1"/>
  <c r="H1847" i="1"/>
  <c r="G1847" i="1"/>
  <c r="F1847" i="1"/>
  <c r="H1838" i="1"/>
  <c r="G1838" i="1"/>
  <c r="F1838" i="1"/>
  <c r="H1816" i="1"/>
  <c r="G1816" i="1"/>
  <c r="F1816" i="1"/>
  <c r="H1799" i="1"/>
  <c r="G1799" i="1"/>
  <c r="H1767" i="1"/>
  <c r="G1767" i="1"/>
  <c r="F1767" i="1"/>
  <c r="H1734" i="1"/>
  <c r="G1734" i="1"/>
  <c r="F1734" i="1"/>
  <c r="H1722" i="1"/>
  <c r="G1722" i="1"/>
  <c r="F1722" i="1"/>
  <c r="G1707" i="1"/>
  <c r="G1683" i="1"/>
  <c r="F1683" i="1"/>
  <c r="H1641" i="1"/>
  <c r="G1641" i="1"/>
  <c r="F1641" i="1"/>
  <c r="H1615" i="1"/>
  <c r="G1615" i="1"/>
  <c r="F1615" i="1"/>
  <c r="H1586" i="1"/>
  <c r="F1586" i="1"/>
  <c r="H1565" i="1"/>
  <c r="G1565" i="1"/>
  <c r="H1536" i="1"/>
  <c r="G1536" i="1"/>
  <c r="F1536" i="1"/>
  <c r="H1521" i="1"/>
  <c r="G1521" i="1"/>
  <c r="F1521" i="1"/>
  <c r="C2227" i="1"/>
  <c r="C2205" i="1"/>
  <c r="D2205" i="1"/>
  <c r="E2205" i="1"/>
  <c r="C2165" i="1"/>
  <c r="D2165" i="1"/>
  <c r="E2165" i="1"/>
  <c r="C2135" i="1"/>
  <c r="D2135" i="1"/>
  <c r="E2135" i="1"/>
  <c r="C2111" i="1"/>
  <c r="D2111" i="1"/>
  <c r="E2111" i="1"/>
  <c r="C2104" i="1"/>
  <c r="D2104" i="1"/>
  <c r="E2104" i="1"/>
  <c r="C2038" i="1"/>
  <c r="D2038" i="1"/>
  <c r="C1999" i="1"/>
  <c r="D1999" i="1"/>
  <c r="E1999" i="1"/>
  <c r="C1977" i="1"/>
  <c r="D1977" i="1"/>
  <c r="E1977" i="1"/>
  <c r="C1960" i="1"/>
  <c r="D1960" i="1"/>
  <c r="E1960" i="1"/>
  <c r="C1917" i="1"/>
  <c r="D1917" i="1"/>
  <c r="E1917" i="1"/>
  <c r="C1893" i="1"/>
  <c r="D1893" i="1"/>
  <c r="E1893" i="1"/>
  <c r="C1871" i="1"/>
  <c r="D1871" i="1"/>
  <c r="C1847" i="1"/>
  <c r="D1847" i="1"/>
  <c r="E1847" i="1"/>
  <c r="C1838" i="1"/>
  <c r="D1838" i="1"/>
  <c r="E1838" i="1"/>
  <c r="C1816" i="1"/>
  <c r="D1816" i="1"/>
  <c r="E1816" i="1"/>
  <c r="C1799" i="1"/>
  <c r="D1799" i="1"/>
  <c r="E1799" i="1"/>
  <c r="C1767" i="1"/>
  <c r="D1767" i="1"/>
  <c r="E1767" i="1"/>
  <c r="C1734" i="1"/>
  <c r="D1734" i="1"/>
  <c r="E1734" i="1"/>
  <c r="C1722" i="1"/>
  <c r="D1722" i="1"/>
  <c r="E1722" i="1"/>
  <c r="C1707" i="1"/>
  <c r="D1707" i="1"/>
  <c r="E1707" i="1"/>
  <c r="C1683" i="1"/>
  <c r="D1683" i="1"/>
  <c r="E1683" i="1"/>
  <c r="C1641" i="1"/>
  <c r="D1641" i="1"/>
  <c r="E1641" i="1"/>
  <c r="C1615" i="1"/>
  <c r="D1615" i="1"/>
  <c r="E1615" i="1"/>
  <c r="C1586" i="1"/>
  <c r="D1586" i="1"/>
  <c r="D1536" i="1"/>
  <c r="E1536" i="1"/>
  <c r="C1521" i="1"/>
  <c r="D1521" i="1"/>
  <c r="E2219" i="1" l="1"/>
  <c r="G2219" i="1"/>
  <c r="D2219" i="1"/>
  <c r="F2219" i="1"/>
  <c r="C2219" i="1"/>
  <c r="H2219" i="1"/>
  <c r="D2218" i="1"/>
  <c r="F1588" i="1"/>
  <c r="F2230" i="1" s="1"/>
  <c r="F2218" i="1"/>
  <c r="G1588" i="1"/>
  <c r="G2230" i="1" s="1"/>
  <c r="G2218" i="1"/>
  <c r="C1588" i="1"/>
  <c r="C2230" i="1" s="1"/>
  <c r="C2218" i="1"/>
  <c r="H2218" i="1"/>
  <c r="H1588" i="1"/>
  <c r="H2230" i="1" s="1"/>
  <c r="D1588" i="1"/>
  <c r="D2230" i="1" s="1"/>
  <c r="E1588" i="1"/>
  <c r="E2230" i="1" s="1"/>
  <c r="E2218" i="1"/>
  <c r="D2220" i="1" l="1"/>
  <c r="D2228" i="1" s="1"/>
  <c r="D2231" i="1" s="1"/>
  <c r="D2232" i="1" s="1"/>
  <c r="D2233" i="1" s="1"/>
  <c r="D2410" i="1" s="1"/>
  <c r="F2220" i="1"/>
  <c r="F2228" i="1" s="1"/>
  <c r="F2231" i="1" s="1"/>
  <c r="F2232" i="1" s="1"/>
  <c r="F2233" i="1" s="1"/>
  <c r="F2235" i="1" s="1"/>
  <c r="F2237" i="1" s="1"/>
  <c r="G2220" i="1"/>
  <c r="G2228" i="1" s="1"/>
  <c r="G2231" i="1" s="1"/>
  <c r="G2232" i="1" s="1"/>
  <c r="G2233" i="1" s="1"/>
  <c r="H2220" i="1"/>
  <c r="H2228" i="1" s="1"/>
  <c r="H2231" i="1" s="1"/>
  <c r="C2220" i="1"/>
  <c r="C2228" i="1" s="1"/>
  <c r="C2231" i="1" s="1"/>
  <c r="C2232" i="1" s="1"/>
  <c r="C2233" i="1" s="1"/>
  <c r="C2410" i="1" s="1"/>
  <c r="E2220" i="1"/>
  <c r="E2228" i="1" s="1"/>
  <c r="E2231" i="1" s="1"/>
  <c r="I314" i="1"/>
  <c r="H2232" i="1" l="1"/>
  <c r="G2235" i="1"/>
  <c r="G2237" i="1" s="1"/>
  <c r="C2235" i="1"/>
  <c r="C2237" i="1" s="1"/>
  <c r="D2235" i="1"/>
  <c r="D2237" i="1" s="1"/>
  <c r="E2232" i="1"/>
  <c r="E2233" i="1" s="1"/>
  <c r="G1403" i="1"/>
  <c r="I1443" i="1"/>
  <c r="I1436" i="1"/>
  <c r="H2233" i="1" l="1"/>
  <c r="E2235" i="1"/>
  <c r="E2237" i="1" s="1"/>
  <c r="H2235" i="1" l="1"/>
  <c r="H2237" i="1" s="1"/>
  <c r="I574" i="1"/>
  <c r="I573" i="1"/>
  <c r="H577" i="1"/>
  <c r="C577" i="1"/>
  <c r="D577" i="1"/>
  <c r="I576" i="1"/>
  <c r="I575" i="1"/>
  <c r="I577" i="1" l="1"/>
  <c r="G1467" i="1"/>
  <c r="G1444" i="1"/>
  <c r="C1467" i="1" l="1"/>
  <c r="C1444" i="1"/>
  <c r="G299" i="1" l="1"/>
  <c r="I2326" i="1" l="1"/>
  <c r="I146" i="1" l="1"/>
  <c r="H584" i="1" l="1"/>
  <c r="G584" i="1"/>
  <c r="F584" i="1"/>
  <c r="C584" i="1"/>
  <c r="D584" i="1"/>
  <c r="G492" i="1"/>
  <c r="H1337" i="1" l="1"/>
  <c r="I1087" i="1" l="1"/>
  <c r="C460" i="1" l="1"/>
  <c r="H1391" i="1" l="1"/>
  <c r="H1387" i="1"/>
  <c r="H1355" i="1"/>
  <c r="I1180" i="1"/>
  <c r="I1177" i="1"/>
  <c r="I1179" i="1"/>
  <c r="I1172" i="1"/>
  <c r="H1136" i="1"/>
  <c r="H934" i="1"/>
  <c r="H939" i="1" s="1"/>
  <c r="F941" i="1"/>
  <c r="F942" i="1" s="1"/>
  <c r="F945" i="1" s="1"/>
  <c r="H724" i="1"/>
  <c r="H731" i="1"/>
  <c r="H708" i="1"/>
  <c r="H685" i="1"/>
  <c r="H914" i="1"/>
  <c r="H883" i="1"/>
  <c r="H656" i="1"/>
  <c r="H558" i="1"/>
  <c r="H540" i="1"/>
  <c r="H499" i="1"/>
  <c r="H467" i="1"/>
  <c r="H455" i="1"/>
  <c r="H442" i="1"/>
  <c r="H333" i="1"/>
  <c r="H299" i="1"/>
  <c r="H285" i="1"/>
  <c r="H277" i="1"/>
  <c r="H125" i="1"/>
  <c r="H113" i="1"/>
  <c r="H105" i="1"/>
  <c r="H96" i="1"/>
  <c r="C248" i="2"/>
  <c r="C246" i="2"/>
  <c r="B245" i="2"/>
  <c r="C245" i="2" s="1"/>
  <c r="H12" i="1" s="1"/>
  <c r="B280" i="2"/>
  <c r="B281" i="2" s="1"/>
  <c r="F272" i="2" s="1"/>
  <c r="G272" i="2"/>
  <c r="G268" i="2"/>
  <c r="E264" i="2"/>
  <c r="G263" i="2"/>
  <c r="F257" i="2"/>
  <c r="C254" i="2"/>
  <c r="D252" i="2"/>
  <c r="H126" i="1" l="1"/>
  <c r="H687" i="1" s="1"/>
  <c r="H1392" i="1"/>
  <c r="H253" i="1"/>
  <c r="H185" i="1"/>
  <c r="H224" i="1"/>
  <c r="H317" i="1"/>
  <c r="H622" i="1"/>
  <c r="H154" i="1"/>
  <c r="H436" i="1"/>
  <c r="H586" i="1" s="1"/>
  <c r="H993" i="1"/>
  <c r="C252" i="2"/>
  <c r="B252" i="2"/>
  <c r="H794" i="1" l="1"/>
  <c r="H1046" i="1"/>
  <c r="F1444" i="1" l="1"/>
  <c r="G499" i="1" l="1"/>
  <c r="F499" i="1"/>
  <c r="C499" i="1"/>
  <c r="D499" i="1"/>
  <c r="I498" i="1"/>
  <c r="I497" i="1"/>
  <c r="E499" i="1"/>
  <c r="I496" i="1"/>
  <c r="H460" i="1"/>
  <c r="G460" i="1"/>
  <c r="D460" i="1"/>
  <c r="E460" i="1"/>
  <c r="I464" i="1"/>
  <c r="I465" i="1"/>
  <c r="I466" i="1"/>
  <c r="E467" i="1"/>
  <c r="D467" i="1"/>
  <c r="C467" i="1"/>
  <c r="F467" i="1"/>
  <c r="G467" i="1"/>
  <c r="I459" i="1"/>
  <c r="F66" i="1"/>
  <c r="I62" i="1"/>
  <c r="C66" i="1"/>
  <c r="I53" i="1"/>
  <c r="I52" i="1"/>
  <c r="I467" i="1" l="1"/>
  <c r="I499" i="1"/>
  <c r="I460" i="1"/>
  <c r="G558" i="1" l="1"/>
  <c r="D558" i="1"/>
  <c r="E558" i="1"/>
  <c r="I557" i="1"/>
  <c r="I556" i="1"/>
  <c r="I581" i="1"/>
  <c r="I582" i="1"/>
  <c r="E485" i="1"/>
  <c r="D485" i="1"/>
  <c r="C485" i="1"/>
  <c r="H485" i="1"/>
  <c r="G485" i="1"/>
  <c r="F485" i="1"/>
  <c r="I484" i="1"/>
  <c r="I482" i="1"/>
  <c r="I481" i="1"/>
  <c r="I480" i="1"/>
  <c r="H587" i="1" l="1"/>
  <c r="H588" i="1" s="1"/>
  <c r="I558" i="1"/>
  <c r="F105" i="1"/>
  <c r="F96" i="1"/>
  <c r="I47" i="1" l="1"/>
  <c r="I46" i="1"/>
  <c r="I45" i="1"/>
  <c r="I44" i="1"/>
  <c r="F33" i="1"/>
  <c r="F12" i="1"/>
  <c r="I245" i="1" l="1"/>
  <c r="G1046" i="1" l="1"/>
  <c r="I1045" i="1"/>
  <c r="C1046" i="1"/>
  <c r="E1046" i="1"/>
  <c r="J39" i="3" l="1"/>
  <c r="A35" i="3"/>
  <c r="D34" i="3"/>
  <c r="K33" i="3"/>
  <c r="D33" i="3"/>
  <c r="D32" i="3"/>
  <c r="K31" i="3"/>
  <c r="K29" i="3"/>
  <c r="E29" i="3"/>
  <c r="D35" i="3" s="1"/>
  <c r="A28" i="3"/>
  <c r="D27" i="3"/>
  <c r="A27" i="3"/>
  <c r="I26" i="3"/>
  <c r="I25" i="3"/>
  <c r="I24" i="3"/>
  <c r="D24" i="3"/>
  <c r="C24" i="3"/>
  <c r="B24" i="3"/>
  <c r="L21" i="3"/>
  <c r="D21" i="3"/>
  <c r="L20" i="3"/>
  <c r="L22" i="3" s="1"/>
  <c r="D20" i="3"/>
  <c r="D22" i="3" s="1"/>
  <c r="F15" i="3"/>
  <c r="H15" i="3" s="1"/>
  <c r="N14" i="3"/>
  <c r="J14" i="3"/>
  <c r="J17" i="3" s="1"/>
  <c r="H14" i="3"/>
  <c r="J13" i="3"/>
  <c r="J16" i="3" s="1"/>
  <c r="H13" i="3"/>
  <c r="H10" i="3"/>
  <c r="G10" i="3"/>
  <c r="F10" i="3"/>
  <c r="E10" i="3"/>
  <c r="D10" i="3"/>
  <c r="C10" i="3"/>
  <c r="I9" i="3"/>
  <c r="I8" i="3"/>
  <c r="I7" i="3"/>
  <c r="I6" i="3"/>
  <c r="I5" i="3"/>
  <c r="B239" i="2"/>
  <c r="B240" i="2" s="1"/>
  <c r="F231" i="2" s="1"/>
  <c r="G231" i="2"/>
  <c r="G227" i="2"/>
  <c r="E223" i="2"/>
  <c r="G222" i="2"/>
  <c r="F216" i="2"/>
  <c r="C213" i="2"/>
  <c r="D211" i="2"/>
  <c r="C207" i="2"/>
  <c r="C205" i="2"/>
  <c r="B204" i="2"/>
  <c r="C204" i="2" s="1"/>
  <c r="B197" i="2"/>
  <c r="B198" i="2" s="1"/>
  <c r="F189" i="2" s="1"/>
  <c r="G189" i="2"/>
  <c r="G185" i="2"/>
  <c r="E181" i="2"/>
  <c r="G180" i="2"/>
  <c r="F174" i="2"/>
  <c r="D170" i="2"/>
  <c r="C166" i="2"/>
  <c r="C164" i="2"/>
  <c r="B163" i="2"/>
  <c r="B170" i="2" s="1"/>
  <c r="I142" i="2"/>
  <c r="I141" i="2"/>
  <c r="I140" i="2"/>
  <c r="B138" i="2"/>
  <c r="B140" i="2" s="1"/>
  <c r="B141" i="2" s="1"/>
  <c r="B142" i="2" s="1"/>
  <c r="B143" i="2" s="1"/>
  <c r="B144" i="2" s="1"/>
  <c r="B145" i="2" s="1"/>
  <c r="B146" i="2" s="1"/>
  <c r="F137" i="2" s="1"/>
  <c r="G136" i="2"/>
  <c r="G135" i="2"/>
  <c r="E129" i="2"/>
  <c r="G128" i="2"/>
  <c r="F122" i="2"/>
  <c r="B118" i="2"/>
  <c r="H114" i="2"/>
  <c r="C114" i="2"/>
  <c r="C112" i="2"/>
  <c r="C111" i="2"/>
  <c r="D111" i="2" s="1"/>
  <c r="D118" i="2" s="1"/>
  <c r="D109" i="2"/>
  <c r="G109" i="2" s="1"/>
  <c r="B106" i="2"/>
  <c r="B104" i="2"/>
  <c r="H103" i="2"/>
  <c r="B102" i="2"/>
  <c r="B101" i="2"/>
  <c r="G95" i="2"/>
  <c r="E89" i="2"/>
  <c r="F81" i="2"/>
  <c r="H78" i="2"/>
  <c r="C75" i="2"/>
  <c r="B75" i="2"/>
  <c r="C74" i="2"/>
  <c r="B74" i="2"/>
  <c r="C73" i="2"/>
  <c r="B73" i="2"/>
  <c r="C72" i="2"/>
  <c r="B72" i="2"/>
  <c r="C71" i="2"/>
  <c r="B71" i="2"/>
  <c r="C70" i="2"/>
  <c r="B70" i="2"/>
  <c r="C69" i="2"/>
  <c r="B69" i="2"/>
  <c r="G67" i="2"/>
  <c r="G66" i="2"/>
  <c r="G61" i="2"/>
  <c r="E57" i="2"/>
  <c r="E54" i="2"/>
  <c r="D36" i="2"/>
  <c r="C36" i="2"/>
  <c r="D35" i="2"/>
  <c r="C35" i="2"/>
  <c r="B35" i="2"/>
  <c r="D34" i="2"/>
  <c r="C34" i="2"/>
  <c r="B34" i="2"/>
  <c r="D33" i="2"/>
  <c r="C33" i="2"/>
  <c r="D32" i="2"/>
  <c r="C32" i="2"/>
  <c r="B32" i="2"/>
  <c r="D31" i="2"/>
  <c r="C31" i="2"/>
  <c r="D30" i="2"/>
  <c r="C30" i="2"/>
  <c r="B30" i="2"/>
  <c r="B42" i="2" l="1"/>
  <c r="D42" i="2"/>
  <c r="I143" i="2"/>
  <c r="C163" i="2"/>
  <c r="C170" i="2" s="1"/>
  <c r="B211" i="2"/>
  <c r="C211" i="2"/>
  <c r="C42" i="2"/>
  <c r="I10" i="3"/>
  <c r="B103" i="2"/>
  <c r="B76" i="2"/>
  <c r="G137" i="2"/>
  <c r="G15" i="3"/>
  <c r="K16" i="3"/>
  <c r="J18" i="3" s="1"/>
  <c r="K18" i="3" s="1"/>
  <c r="K17" i="3"/>
  <c r="J19" i="3" s="1"/>
  <c r="K19" i="3" s="1"/>
  <c r="C118" i="2"/>
  <c r="H140" i="2" s="1"/>
  <c r="H143" i="2" s="1"/>
  <c r="C76" i="2"/>
  <c r="E73" i="2" s="1"/>
  <c r="D69" i="2" l="1"/>
  <c r="D70" i="2"/>
  <c r="D74" i="2"/>
  <c r="K20" i="3"/>
  <c r="K21" i="3" s="1"/>
  <c r="D72" i="2"/>
  <c r="G87" i="2"/>
  <c r="G88" i="2" s="1"/>
  <c r="E76" i="2"/>
  <c r="D73" i="2"/>
  <c r="D75" i="2"/>
  <c r="D71" i="2"/>
  <c r="D76" i="2" l="1"/>
  <c r="I1121" i="1"/>
  <c r="I2309" i="1"/>
  <c r="F685" i="1" l="1"/>
  <c r="F656" i="1"/>
  <c r="F540" i="1"/>
  <c r="F455" i="1"/>
  <c r="F492" i="1"/>
  <c r="F442" i="1"/>
  <c r="F587" i="1" l="1"/>
  <c r="F436" i="1"/>
  <c r="F586" i="1" s="1"/>
  <c r="F400" i="1"/>
  <c r="F622" i="1" l="1"/>
  <c r="F380" i="1"/>
  <c r="F333" i="1"/>
  <c r="F317" i="1"/>
  <c r="F299" i="1"/>
  <c r="F285" i="1"/>
  <c r="F277" i="1"/>
  <c r="F253" i="1"/>
  <c r="F224" i="1" l="1"/>
  <c r="F185" i="1"/>
  <c r="F154" i="1"/>
  <c r="F125" i="1"/>
  <c r="F113" i="1" l="1"/>
  <c r="F126" i="1" s="1"/>
  <c r="F687" i="1" s="1"/>
  <c r="I26" i="1"/>
  <c r="D695" i="1" l="1"/>
  <c r="G2383" i="1" l="1"/>
  <c r="C2383" i="1"/>
  <c r="C2386" i="1" s="1"/>
  <c r="D2383" i="1"/>
  <c r="E2383" i="1"/>
  <c r="D2378" i="1"/>
  <c r="E2378" i="1"/>
  <c r="G2371" i="1"/>
  <c r="G2366" i="1"/>
  <c r="C2371" i="1"/>
  <c r="C2366" i="1"/>
  <c r="C2361" i="1"/>
  <c r="D2371" i="1"/>
  <c r="D2366" i="1"/>
  <c r="D2361" i="1"/>
  <c r="E2371" i="1"/>
  <c r="E2366" i="1"/>
  <c r="G2295" i="1"/>
  <c r="G2288" i="1"/>
  <c r="G2284" i="1"/>
  <c r="G2276" i="1"/>
  <c r="G2273" i="1"/>
  <c r="G2263" i="1"/>
  <c r="C2295" i="1"/>
  <c r="C2288" i="1"/>
  <c r="C2284" i="1"/>
  <c r="C2276" i="1"/>
  <c r="C2273" i="1"/>
  <c r="C2263" i="1"/>
  <c r="D2295" i="1"/>
  <c r="D2288" i="1"/>
  <c r="D2284" i="1"/>
  <c r="D2273" i="1"/>
  <c r="D2263" i="1"/>
  <c r="E2295" i="1"/>
  <c r="E2288" i="1"/>
  <c r="E2284" i="1"/>
  <c r="E2276" i="1"/>
  <c r="E2273" i="1"/>
  <c r="E2263" i="1"/>
  <c r="D2297" i="1" l="1"/>
  <c r="C2297" i="1"/>
  <c r="C2391" i="1" s="1"/>
  <c r="E2355" i="1"/>
  <c r="E2387" i="1" s="1"/>
  <c r="C934" i="1" l="1"/>
  <c r="G738" i="1" l="1"/>
  <c r="C738" i="1"/>
  <c r="D738" i="1"/>
  <c r="G731" i="1"/>
  <c r="C731" i="1"/>
  <c r="D731" i="1"/>
  <c r="E731" i="1"/>
  <c r="G724" i="1"/>
  <c r="C724" i="1"/>
  <c r="D724" i="1"/>
  <c r="E724" i="1"/>
  <c r="F708" i="1"/>
  <c r="H719" i="1"/>
  <c r="H740" i="1" s="1"/>
  <c r="G719" i="1"/>
  <c r="C719" i="1"/>
  <c r="D719" i="1"/>
  <c r="E719" i="1"/>
  <c r="G708" i="1"/>
  <c r="D708" i="1"/>
  <c r="E708" i="1"/>
  <c r="D740" i="1" l="1"/>
  <c r="I691" i="1"/>
  <c r="G12" i="1" l="1"/>
  <c r="I693" i="1"/>
  <c r="I692" i="1"/>
  <c r="I684" i="1"/>
  <c r="I683" i="1"/>
  <c r="I682" i="1"/>
  <c r="I681" i="1"/>
  <c r="I674" i="1"/>
  <c r="I673" i="1"/>
  <c r="I672" i="1"/>
  <c r="I671" i="1"/>
  <c r="I670" i="1"/>
  <c r="I669" i="1"/>
  <c r="I668" i="1"/>
  <c r="I667" i="1"/>
  <c r="I666" i="1"/>
  <c r="I665" i="1"/>
  <c r="I664" i="1"/>
  <c r="I661" i="1"/>
  <c r="G663" i="1"/>
  <c r="G662" i="1"/>
  <c r="I655" i="1"/>
  <c r="I654" i="1"/>
  <c r="I653" i="1"/>
  <c r="I652" i="1"/>
  <c r="I651" i="1"/>
  <c r="I650" i="1"/>
  <c r="I648" i="1"/>
  <c r="I647" i="1"/>
  <c r="I646" i="1"/>
  <c r="I645" i="1"/>
  <c r="I644" i="1"/>
  <c r="I643" i="1"/>
  <c r="I642" i="1"/>
  <c r="I641" i="1"/>
  <c r="I639" i="1"/>
  <c r="I638" i="1"/>
  <c r="I636" i="1"/>
  <c r="I635" i="1"/>
  <c r="I640" i="1"/>
  <c r="G656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598" i="1"/>
  <c r="I597" i="1"/>
  <c r="I594" i="1"/>
  <c r="I593" i="1"/>
  <c r="F588" i="1"/>
  <c r="I551" i="1"/>
  <c r="I550" i="1"/>
  <c r="I583" i="1"/>
  <c r="I545" i="1"/>
  <c r="I544" i="1"/>
  <c r="I539" i="1"/>
  <c r="I538" i="1"/>
  <c r="I537" i="1"/>
  <c r="I532" i="1"/>
  <c r="I527" i="1"/>
  <c r="I526" i="1"/>
  <c r="I521" i="1"/>
  <c r="I520" i="1"/>
  <c r="I519" i="1"/>
  <c r="I518" i="1"/>
  <c r="I517" i="1"/>
  <c r="I516" i="1"/>
  <c r="I515" i="1"/>
  <c r="I510" i="1"/>
  <c r="I509" i="1"/>
  <c r="I508" i="1"/>
  <c r="I507" i="1"/>
  <c r="I506" i="1"/>
  <c r="I505" i="1"/>
  <c r="I504" i="1"/>
  <c r="I503" i="1"/>
  <c r="I491" i="1"/>
  <c r="I490" i="1"/>
  <c r="I489" i="1"/>
  <c r="I479" i="1"/>
  <c r="I478" i="1"/>
  <c r="I477" i="1"/>
  <c r="I476" i="1"/>
  <c r="I472" i="1"/>
  <c r="I452" i="1"/>
  <c r="G455" i="1"/>
  <c r="I446" i="1"/>
  <c r="I441" i="1"/>
  <c r="I440" i="1"/>
  <c r="G442" i="1"/>
  <c r="I435" i="1"/>
  <c r="I434" i="1"/>
  <c r="I433" i="1"/>
  <c r="I430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06" i="1"/>
  <c r="I399" i="1"/>
  <c r="I398" i="1"/>
  <c r="I397" i="1"/>
  <c r="I396" i="1"/>
  <c r="I395" i="1"/>
  <c r="I394" i="1"/>
  <c r="I393" i="1"/>
  <c r="I392" i="1"/>
  <c r="I391" i="1"/>
  <c r="I388" i="1"/>
  <c r="I385" i="1"/>
  <c r="I379" i="1"/>
  <c r="I378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43" i="1"/>
  <c r="I342" i="1"/>
  <c r="I341" i="1"/>
  <c r="I340" i="1"/>
  <c r="I339" i="1"/>
  <c r="I332" i="1"/>
  <c r="I331" i="1"/>
  <c r="I330" i="1"/>
  <c r="I329" i="1"/>
  <c r="I328" i="1"/>
  <c r="I327" i="1"/>
  <c r="I326" i="1"/>
  <c r="I325" i="1"/>
  <c r="I324" i="1"/>
  <c r="I323" i="1"/>
  <c r="I322" i="1"/>
  <c r="I316" i="1"/>
  <c r="I315" i="1"/>
  <c r="I313" i="1"/>
  <c r="I312" i="1"/>
  <c r="I311" i="1"/>
  <c r="I310" i="1"/>
  <c r="I309" i="1"/>
  <c r="I308" i="1"/>
  <c r="I304" i="1"/>
  <c r="I298" i="1"/>
  <c r="I297" i="1"/>
  <c r="I296" i="1"/>
  <c r="I295" i="1"/>
  <c r="I294" i="1"/>
  <c r="I293" i="1"/>
  <c r="I292" i="1"/>
  <c r="I291" i="1"/>
  <c r="I290" i="1"/>
  <c r="I284" i="1"/>
  <c r="I283" i="1"/>
  <c r="I282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58" i="1"/>
  <c r="I252" i="1"/>
  <c r="I251" i="1"/>
  <c r="I250" i="1"/>
  <c r="I249" i="1"/>
  <c r="I248" i="1"/>
  <c r="I247" i="1"/>
  <c r="I246" i="1"/>
  <c r="I244" i="1"/>
  <c r="I243" i="1"/>
  <c r="I242" i="1"/>
  <c r="I241" i="1"/>
  <c r="I240" i="1"/>
  <c r="I239" i="1"/>
  <c r="I238" i="1"/>
  <c r="I237" i="1"/>
  <c r="I236" i="1"/>
  <c r="I235" i="1"/>
  <c r="I232" i="1"/>
  <c r="I229" i="1"/>
  <c r="I228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5" i="1"/>
  <c r="I191" i="1"/>
  <c r="I190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3" i="1"/>
  <c r="I161" i="1"/>
  <c r="I159" i="1"/>
  <c r="I152" i="1"/>
  <c r="I151" i="1"/>
  <c r="I150" i="1"/>
  <c r="I149" i="1"/>
  <c r="I148" i="1"/>
  <c r="I147" i="1"/>
  <c r="I145" i="1"/>
  <c r="I144" i="1"/>
  <c r="I143" i="1"/>
  <c r="I142" i="1"/>
  <c r="I141" i="1"/>
  <c r="I140" i="1"/>
  <c r="I136" i="1"/>
  <c r="I135" i="1"/>
  <c r="I132" i="1"/>
  <c r="I111" i="1"/>
  <c r="I124" i="1"/>
  <c r="I123" i="1"/>
  <c r="I122" i="1"/>
  <c r="I121" i="1"/>
  <c r="I120" i="1"/>
  <c r="I119" i="1"/>
  <c r="I118" i="1"/>
  <c r="I117" i="1"/>
  <c r="I116" i="1"/>
  <c r="I115" i="1"/>
  <c r="I112" i="1"/>
  <c r="I107" i="1"/>
  <c r="I103" i="1"/>
  <c r="I102" i="1"/>
  <c r="I101" i="1"/>
  <c r="I100" i="1"/>
  <c r="I99" i="1"/>
  <c r="I98" i="1"/>
  <c r="I97" i="1"/>
  <c r="I95" i="1"/>
  <c r="I94" i="1"/>
  <c r="I93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1" i="1"/>
  <c r="I60" i="1"/>
  <c r="I59" i="1"/>
  <c r="I58" i="1"/>
  <c r="I51" i="1"/>
  <c r="I50" i="1"/>
  <c r="I49" i="1"/>
  <c r="I48" i="1"/>
  <c r="I43" i="1"/>
  <c r="I42" i="1"/>
  <c r="I39" i="1"/>
  <c r="I37" i="1"/>
  <c r="I36" i="1"/>
  <c r="I30" i="1"/>
  <c r="I29" i="1"/>
  <c r="I28" i="1"/>
  <c r="I27" i="1"/>
  <c r="I25" i="1"/>
  <c r="I24" i="1"/>
  <c r="I23" i="1"/>
  <c r="I22" i="1"/>
  <c r="I21" i="1"/>
  <c r="I20" i="1"/>
  <c r="I19" i="1"/>
  <c r="I18" i="1"/>
  <c r="I17" i="1"/>
  <c r="I15" i="1"/>
  <c r="I14" i="1"/>
  <c r="I11" i="1"/>
  <c r="I10" i="1"/>
  <c r="D436" i="1"/>
  <c r="D586" i="1" s="1"/>
  <c r="G166" i="1"/>
  <c r="G125" i="1"/>
  <c r="G105" i="1"/>
  <c r="G96" i="1"/>
  <c r="G33" i="1"/>
  <c r="E12" i="1"/>
  <c r="D12" i="1"/>
  <c r="C12" i="1"/>
  <c r="E33" i="1"/>
  <c r="C33" i="1"/>
  <c r="I33" i="1" s="1"/>
  <c r="D66" i="1"/>
  <c r="E49" i="1"/>
  <c r="E66" i="1" s="1"/>
  <c r="I66" i="1"/>
  <c r="I92" i="1"/>
  <c r="E96" i="1"/>
  <c r="D96" i="1"/>
  <c r="C96" i="1"/>
  <c r="I96" i="1" s="1"/>
  <c r="E105" i="1"/>
  <c r="C105" i="1"/>
  <c r="I105" i="1" s="1"/>
  <c r="I108" i="1"/>
  <c r="I109" i="1"/>
  <c r="I110" i="1"/>
  <c r="E113" i="1"/>
  <c r="C125" i="1"/>
  <c r="I125" i="1" s="1"/>
  <c r="I137" i="1"/>
  <c r="I138" i="1"/>
  <c r="I139" i="1"/>
  <c r="D154" i="1"/>
  <c r="I164" i="1"/>
  <c r="I162" i="1"/>
  <c r="I166" i="1"/>
  <c r="D185" i="1"/>
  <c r="I196" i="1"/>
  <c r="I197" i="1"/>
  <c r="D224" i="1"/>
  <c r="I233" i="1"/>
  <c r="I234" i="1"/>
  <c r="D253" i="1"/>
  <c r="I259" i="1"/>
  <c r="I260" i="1"/>
  <c r="E277" i="1"/>
  <c r="D277" i="1"/>
  <c r="E285" i="1"/>
  <c r="D285" i="1"/>
  <c r="G285" i="1"/>
  <c r="C285" i="1"/>
  <c r="I285" i="1" s="1"/>
  <c r="E299" i="1"/>
  <c r="D299" i="1"/>
  <c r="C299" i="1"/>
  <c r="I299" i="1" s="1"/>
  <c r="I306" i="1"/>
  <c r="I307" i="1"/>
  <c r="E317" i="1"/>
  <c r="D317" i="1"/>
  <c r="E333" i="1"/>
  <c r="D333" i="1"/>
  <c r="G333" i="1"/>
  <c r="C333" i="1"/>
  <c r="I333" i="1" s="1"/>
  <c r="I345" i="1"/>
  <c r="I344" i="1"/>
  <c r="I347" i="1"/>
  <c r="I369" i="1"/>
  <c r="D380" i="1"/>
  <c r="I387" i="1"/>
  <c r="I389" i="1"/>
  <c r="I390" i="1"/>
  <c r="D400" i="1"/>
  <c r="E442" i="1"/>
  <c r="D442" i="1"/>
  <c r="C442" i="1"/>
  <c r="I442" i="1" s="1"/>
  <c r="C455" i="1"/>
  <c r="D455" i="1"/>
  <c r="I485" i="1"/>
  <c r="D492" i="1"/>
  <c r="C492" i="1"/>
  <c r="I492" i="1" s="1"/>
  <c r="I511" i="1"/>
  <c r="I522" i="1"/>
  <c r="I528" i="1"/>
  <c r="I533" i="1"/>
  <c r="E540" i="1"/>
  <c r="D540" i="1"/>
  <c r="G540" i="1"/>
  <c r="G587" i="1" s="1"/>
  <c r="C540" i="1"/>
  <c r="I540" i="1" s="1"/>
  <c r="D546" i="1"/>
  <c r="C546" i="1"/>
  <c r="I546" i="1" s="1"/>
  <c r="I552" i="1"/>
  <c r="E584" i="1"/>
  <c r="I599" i="1"/>
  <c r="I600" i="1"/>
  <c r="D622" i="1"/>
  <c r="C656" i="1"/>
  <c r="D656" i="1"/>
  <c r="I663" i="1"/>
  <c r="E685" i="1"/>
  <c r="D685" i="1"/>
  <c r="G685" i="1"/>
  <c r="C685" i="1"/>
  <c r="I685" i="1" s="1"/>
  <c r="E695" i="1"/>
  <c r="I705" i="1"/>
  <c r="I706" i="1"/>
  <c r="I707" i="1"/>
  <c r="I710" i="1"/>
  <c r="I711" i="1"/>
  <c r="I712" i="1"/>
  <c r="I713" i="1"/>
  <c r="I714" i="1"/>
  <c r="I715" i="1"/>
  <c r="I716" i="1"/>
  <c r="I717" i="1"/>
  <c r="I718" i="1"/>
  <c r="F719" i="1"/>
  <c r="I721" i="1"/>
  <c r="I722" i="1"/>
  <c r="I723" i="1"/>
  <c r="F724" i="1"/>
  <c r="I726" i="1"/>
  <c r="I727" i="1"/>
  <c r="I728" i="1"/>
  <c r="I730" i="1"/>
  <c r="F731" i="1"/>
  <c r="I733" i="1"/>
  <c r="I734" i="1"/>
  <c r="I735" i="1"/>
  <c r="I736" i="1"/>
  <c r="I737" i="1"/>
  <c r="F738" i="1"/>
  <c r="I746" i="1"/>
  <c r="E747" i="1"/>
  <c r="D747" i="1"/>
  <c r="C747" i="1"/>
  <c r="F747" i="1"/>
  <c r="G747" i="1"/>
  <c r="H747" i="1"/>
  <c r="I753" i="1"/>
  <c r="I755" i="1"/>
  <c r="I756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D776" i="1"/>
  <c r="F776" i="1"/>
  <c r="G776" i="1"/>
  <c r="H776" i="1"/>
  <c r="D794" i="1"/>
  <c r="I781" i="1"/>
  <c r="I782" i="1"/>
  <c r="I784" i="1"/>
  <c r="I785" i="1"/>
  <c r="I788" i="1"/>
  <c r="I789" i="1"/>
  <c r="I790" i="1"/>
  <c r="I791" i="1"/>
  <c r="I792" i="1"/>
  <c r="I793" i="1"/>
  <c r="F794" i="1"/>
  <c r="G794" i="1"/>
  <c r="I799" i="1"/>
  <c r="I800" i="1"/>
  <c r="I801" i="1"/>
  <c r="I802" i="1"/>
  <c r="I803" i="1"/>
  <c r="I804" i="1"/>
  <c r="I805" i="1"/>
  <c r="E806" i="1"/>
  <c r="D806" i="1"/>
  <c r="C806" i="1"/>
  <c r="F806" i="1"/>
  <c r="G806" i="1"/>
  <c r="H806" i="1"/>
  <c r="D838" i="1"/>
  <c r="I811" i="1"/>
  <c r="I812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G838" i="1"/>
  <c r="I843" i="1"/>
  <c r="I844" i="1"/>
  <c r="I846" i="1"/>
  <c r="I847" i="1"/>
  <c r="I848" i="1"/>
  <c r="I849" i="1"/>
  <c r="E859" i="1"/>
  <c r="I850" i="1"/>
  <c r="I851" i="1"/>
  <c r="I852" i="1"/>
  <c r="I853" i="1"/>
  <c r="I854" i="1"/>
  <c r="I855" i="1"/>
  <c r="I856" i="1"/>
  <c r="I857" i="1"/>
  <c r="I858" i="1"/>
  <c r="D859" i="1"/>
  <c r="F859" i="1"/>
  <c r="G859" i="1"/>
  <c r="I864" i="1"/>
  <c r="I865" i="1"/>
  <c r="I867" i="1"/>
  <c r="I868" i="1"/>
  <c r="I869" i="1"/>
  <c r="I871" i="1"/>
  <c r="I872" i="1"/>
  <c r="F873" i="1"/>
  <c r="G873" i="1"/>
  <c r="D883" i="1"/>
  <c r="I878" i="1"/>
  <c r="I879" i="1"/>
  <c r="I880" i="1"/>
  <c r="I881" i="1"/>
  <c r="I882" i="1"/>
  <c r="F883" i="1"/>
  <c r="G883" i="1"/>
  <c r="I887" i="1"/>
  <c r="I888" i="1"/>
  <c r="I889" i="1"/>
  <c r="I890" i="1"/>
  <c r="E892" i="1"/>
  <c r="D892" i="1"/>
  <c r="F892" i="1"/>
  <c r="G892" i="1"/>
  <c r="H892" i="1"/>
  <c r="I896" i="1"/>
  <c r="E897" i="1"/>
  <c r="D897" i="1"/>
  <c r="C897" i="1"/>
  <c r="F897" i="1"/>
  <c r="G897" i="1"/>
  <c r="H897" i="1"/>
  <c r="I902" i="1"/>
  <c r="E903" i="1"/>
  <c r="D903" i="1"/>
  <c r="C903" i="1"/>
  <c r="F903" i="1"/>
  <c r="G903" i="1"/>
  <c r="H903" i="1"/>
  <c r="I908" i="1"/>
  <c r="I909" i="1"/>
  <c r="I910" i="1"/>
  <c r="I911" i="1"/>
  <c r="I912" i="1"/>
  <c r="I913" i="1"/>
  <c r="E914" i="1"/>
  <c r="D914" i="1"/>
  <c r="C914" i="1"/>
  <c r="F914" i="1"/>
  <c r="G914" i="1"/>
  <c r="I921" i="1"/>
  <c r="I922" i="1"/>
  <c r="I923" i="1"/>
  <c r="I932" i="1"/>
  <c r="I933" i="1"/>
  <c r="E934" i="1"/>
  <c r="E939" i="1" s="1"/>
  <c r="E941" i="1" s="1"/>
  <c r="E942" i="1" s="1"/>
  <c r="E945" i="1" s="1"/>
  <c r="D934" i="1"/>
  <c r="D939" i="1" s="1"/>
  <c r="D941" i="1" s="1"/>
  <c r="D942" i="1" s="1"/>
  <c r="F934" i="1"/>
  <c r="G934" i="1"/>
  <c r="H941" i="1"/>
  <c r="H942" i="1" s="1"/>
  <c r="H945" i="1" s="1"/>
  <c r="I940" i="1"/>
  <c r="G941" i="1"/>
  <c r="G942" i="1" s="1"/>
  <c r="G945" i="1" s="1"/>
  <c r="I943" i="1"/>
  <c r="I944" i="1"/>
  <c r="I953" i="1"/>
  <c r="I954" i="1"/>
  <c r="D958" i="1"/>
  <c r="I956" i="1"/>
  <c r="I957" i="1"/>
  <c r="E958" i="1"/>
  <c r="F958" i="1"/>
  <c r="G958" i="1"/>
  <c r="H958" i="1"/>
  <c r="I961" i="1"/>
  <c r="I962" i="1"/>
  <c r="E963" i="1"/>
  <c r="C963" i="1"/>
  <c r="F963" i="1"/>
  <c r="H963" i="1"/>
  <c r="D993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6" i="1"/>
  <c r="I987" i="1"/>
  <c r="I988" i="1"/>
  <c r="I989" i="1"/>
  <c r="I990" i="1"/>
  <c r="I991" i="1"/>
  <c r="I992" i="1"/>
  <c r="F993" i="1"/>
  <c r="I997" i="1"/>
  <c r="I998" i="1"/>
  <c r="I999" i="1"/>
  <c r="E1000" i="1"/>
  <c r="D1000" i="1"/>
  <c r="C1000" i="1"/>
  <c r="F1000" i="1"/>
  <c r="G1000" i="1"/>
  <c r="H1000" i="1"/>
  <c r="I1008" i="1"/>
  <c r="I1016" i="1"/>
  <c r="I1017" i="1"/>
  <c r="I1018" i="1"/>
  <c r="I1019" i="1"/>
  <c r="I1020" i="1"/>
  <c r="I1021" i="1"/>
  <c r="E1022" i="1"/>
  <c r="E1053" i="1" s="1"/>
  <c r="D1022" i="1"/>
  <c r="D1053" i="1" s="1"/>
  <c r="C1022" i="1"/>
  <c r="C1053" i="1" s="1"/>
  <c r="G1022" i="1"/>
  <c r="G1053" i="1" s="1"/>
  <c r="H1022" i="1"/>
  <c r="H1053" i="1" s="1"/>
  <c r="I1027" i="1"/>
  <c r="I1028" i="1"/>
  <c r="E1029" i="1"/>
  <c r="D1029" i="1"/>
  <c r="C1029" i="1"/>
  <c r="F1029" i="1"/>
  <c r="G1029" i="1"/>
  <c r="H1029" i="1"/>
  <c r="D1046" i="1"/>
  <c r="I1038" i="1"/>
  <c r="I1034" i="1"/>
  <c r="I1036" i="1"/>
  <c r="I1037" i="1"/>
  <c r="I1040" i="1"/>
  <c r="I1041" i="1"/>
  <c r="I1042" i="1"/>
  <c r="I1043" i="1"/>
  <c r="I1044" i="1"/>
  <c r="I1049" i="1"/>
  <c r="I1050" i="1"/>
  <c r="E1051" i="1"/>
  <c r="D1051" i="1"/>
  <c r="C1051" i="1"/>
  <c r="F1051" i="1"/>
  <c r="G1051" i="1"/>
  <c r="H1051" i="1"/>
  <c r="I1057" i="1"/>
  <c r="I1065" i="1"/>
  <c r="I1066" i="1"/>
  <c r="I1067" i="1"/>
  <c r="E1068" i="1"/>
  <c r="E1074" i="1" s="1"/>
  <c r="D1068" i="1"/>
  <c r="D1074" i="1" s="1"/>
  <c r="C1068" i="1"/>
  <c r="F1068" i="1"/>
  <c r="F1074" i="1" s="1"/>
  <c r="G1068" i="1"/>
  <c r="G1074" i="1" s="1"/>
  <c r="H1068" i="1"/>
  <c r="H1074" i="1" s="1"/>
  <c r="I1072" i="1"/>
  <c r="E1073" i="1"/>
  <c r="E1075" i="1" s="1"/>
  <c r="I1073" i="1"/>
  <c r="D1075" i="1"/>
  <c r="C1075" i="1"/>
  <c r="F1075" i="1"/>
  <c r="G1075" i="1"/>
  <c r="H1075" i="1"/>
  <c r="E1077" i="1"/>
  <c r="E1079" i="1" s="1"/>
  <c r="I1078" i="1"/>
  <c r="I1088" i="1"/>
  <c r="I1089" i="1"/>
  <c r="I1091" i="1"/>
  <c r="E1092" i="1"/>
  <c r="E1093" i="1" s="1"/>
  <c r="E1102" i="1" s="1"/>
  <c r="G1084" i="1" s="1"/>
  <c r="D1092" i="1"/>
  <c r="D1093" i="1" s="1"/>
  <c r="D1102" i="1" s="1"/>
  <c r="C1093" i="1"/>
  <c r="F1092" i="1"/>
  <c r="G1092" i="1"/>
  <c r="H1092" i="1"/>
  <c r="I1096" i="1"/>
  <c r="I1099" i="1"/>
  <c r="E1100" i="1"/>
  <c r="E1103" i="1" s="1"/>
  <c r="D1100" i="1"/>
  <c r="D1103" i="1" s="1"/>
  <c r="C1100" i="1"/>
  <c r="F1100" i="1"/>
  <c r="F1103" i="1" s="1"/>
  <c r="G1100" i="1"/>
  <c r="G1103" i="1" s="1"/>
  <c r="H1103" i="1"/>
  <c r="I1106" i="1"/>
  <c r="I1116" i="1"/>
  <c r="I1117" i="1"/>
  <c r="I1118" i="1"/>
  <c r="I1119" i="1"/>
  <c r="I1120" i="1"/>
  <c r="E1124" i="1"/>
  <c r="E1146" i="1" s="1"/>
  <c r="H1124" i="1"/>
  <c r="H1146" i="1" s="1"/>
  <c r="I1122" i="1"/>
  <c r="I1123" i="1"/>
  <c r="D1124" i="1"/>
  <c r="D1146" i="1" s="1"/>
  <c r="C1124" i="1"/>
  <c r="F1124" i="1"/>
  <c r="F1146" i="1" s="1"/>
  <c r="G1124" i="1"/>
  <c r="G1146" i="1" s="1"/>
  <c r="I1128" i="1"/>
  <c r="I1129" i="1"/>
  <c r="I1130" i="1"/>
  <c r="I1131" i="1"/>
  <c r="I1132" i="1"/>
  <c r="I1142" i="1"/>
  <c r="I1143" i="1"/>
  <c r="E1144" i="1"/>
  <c r="D1144" i="1"/>
  <c r="C1144" i="1"/>
  <c r="F1144" i="1"/>
  <c r="G1144" i="1"/>
  <c r="H1144" i="1"/>
  <c r="I1150" i="1"/>
  <c r="I1158" i="1"/>
  <c r="I1159" i="1"/>
  <c r="I1160" i="1"/>
  <c r="I1161" i="1"/>
  <c r="I1162" i="1"/>
  <c r="I1164" i="1"/>
  <c r="I1165" i="1"/>
  <c r="I1166" i="1"/>
  <c r="E1167" i="1"/>
  <c r="E1190" i="1" s="1"/>
  <c r="D1167" i="1"/>
  <c r="D1190" i="1" s="1"/>
  <c r="C1167" i="1"/>
  <c r="C1190" i="1" s="1"/>
  <c r="G1167" i="1"/>
  <c r="G1190" i="1" s="1"/>
  <c r="H1167" i="1"/>
  <c r="H1190" i="1" s="1"/>
  <c r="I1171" i="1"/>
  <c r="I1173" i="1"/>
  <c r="I1174" i="1"/>
  <c r="I1175" i="1"/>
  <c r="I1176" i="1"/>
  <c r="I1178" i="1"/>
  <c r="I1181" i="1"/>
  <c r="I1182" i="1"/>
  <c r="D1188" i="1"/>
  <c r="D1191" i="1" s="1"/>
  <c r="I1183" i="1"/>
  <c r="I1184" i="1"/>
  <c r="I1185" i="1"/>
  <c r="I1186" i="1"/>
  <c r="I1187" i="1"/>
  <c r="E1188" i="1"/>
  <c r="E1191" i="1" s="1"/>
  <c r="C1188" i="1"/>
  <c r="C1191" i="1" s="1"/>
  <c r="G1188" i="1"/>
  <c r="G1191" i="1" s="1"/>
  <c r="H1188" i="1"/>
  <c r="H1191" i="1" s="1"/>
  <c r="I1194" i="1"/>
  <c r="I1204" i="1"/>
  <c r="I1205" i="1"/>
  <c r="I1206" i="1"/>
  <c r="I1207" i="1"/>
  <c r="I1208" i="1"/>
  <c r="E1209" i="1"/>
  <c r="E1218" i="1" s="1"/>
  <c r="D1209" i="1"/>
  <c r="D1218" i="1" s="1"/>
  <c r="C1209" i="1"/>
  <c r="C1218" i="1" s="1"/>
  <c r="F1209" i="1"/>
  <c r="F1218" i="1" s="1"/>
  <c r="G1209" i="1"/>
  <c r="G1218" i="1" s="1"/>
  <c r="H1209" i="1"/>
  <c r="H1218" i="1" s="1"/>
  <c r="I1213" i="1"/>
  <c r="E1216" i="1"/>
  <c r="E1219" i="1" s="1"/>
  <c r="I1214" i="1"/>
  <c r="H1216" i="1"/>
  <c r="H1219" i="1" s="1"/>
  <c r="I1215" i="1"/>
  <c r="D1216" i="1"/>
  <c r="D1219" i="1" s="1"/>
  <c r="F1216" i="1"/>
  <c r="F1219" i="1" s="1"/>
  <c r="G1216" i="1"/>
  <c r="G1219" i="1" s="1"/>
  <c r="I1222" i="1"/>
  <c r="I1231" i="1"/>
  <c r="I1232" i="1"/>
  <c r="I1233" i="1"/>
  <c r="I1235" i="1"/>
  <c r="E1236" i="1"/>
  <c r="E1238" i="1" s="1"/>
  <c r="E1253" i="1" s="1"/>
  <c r="D1236" i="1"/>
  <c r="D1238" i="1" s="1"/>
  <c r="D1253" i="1" s="1"/>
  <c r="C1236" i="1"/>
  <c r="C1238" i="1" s="1"/>
  <c r="C1253" i="1" s="1"/>
  <c r="F1236" i="1"/>
  <c r="F1238" i="1" s="1"/>
  <c r="F1253" i="1" s="1"/>
  <c r="G1236" i="1"/>
  <c r="G1238" i="1" s="1"/>
  <c r="G1253" i="1" s="1"/>
  <c r="H1236" i="1"/>
  <c r="H1238" i="1" s="1"/>
  <c r="H1253" i="1" s="1"/>
  <c r="I1242" i="1"/>
  <c r="I1243" i="1"/>
  <c r="I1244" i="1"/>
  <c r="E1245" i="1"/>
  <c r="D1245" i="1"/>
  <c r="F1245" i="1"/>
  <c r="G1245" i="1"/>
  <c r="H1245" i="1"/>
  <c r="I1249" i="1"/>
  <c r="I1257" i="1"/>
  <c r="I1266" i="1"/>
  <c r="I1267" i="1"/>
  <c r="I1268" i="1"/>
  <c r="I1269" i="1"/>
  <c r="I1270" i="1"/>
  <c r="I1271" i="1"/>
  <c r="I1272" i="1"/>
  <c r="E1273" i="1"/>
  <c r="E1289" i="1" s="1"/>
  <c r="D1273" i="1"/>
  <c r="D1289" i="1" s="1"/>
  <c r="C1273" i="1"/>
  <c r="F1273" i="1"/>
  <c r="F1289" i="1" s="1"/>
  <c r="G1273" i="1"/>
  <c r="G1289" i="1" s="1"/>
  <c r="H1273" i="1"/>
  <c r="H1289" i="1" s="1"/>
  <c r="I1277" i="1"/>
  <c r="I1278" i="1"/>
  <c r="E1279" i="1"/>
  <c r="D1279" i="1"/>
  <c r="C1279" i="1"/>
  <c r="F1279" i="1"/>
  <c r="G1279" i="1"/>
  <c r="H1279" i="1"/>
  <c r="I1283" i="1"/>
  <c r="E1285" i="1"/>
  <c r="D1285" i="1"/>
  <c r="C1285" i="1"/>
  <c r="F1285" i="1"/>
  <c r="G1285" i="1"/>
  <c r="H1285" i="1"/>
  <c r="I1293" i="1"/>
  <c r="I1302" i="1"/>
  <c r="I1303" i="1"/>
  <c r="I1304" i="1"/>
  <c r="E1305" i="1"/>
  <c r="E1315" i="1" s="1"/>
  <c r="D1305" i="1"/>
  <c r="D1315" i="1" s="1"/>
  <c r="C1305" i="1"/>
  <c r="F1305" i="1"/>
  <c r="F1315" i="1" s="1"/>
  <c r="G1305" i="1"/>
  <c r="G1315" i="1" s="1"/>
  <c r="H1305" i="1"/>
  <c r="H1315" i="1" s="1"/>
  <c r="I1309" i="1"/>
  <c r="I1310" i="1"/>
  <c r="I1311" i="1"/>
  <c r="I1312" i="1"/>
  <c r="E1313" i="1"/>
  <c r="E1316" i="1" s="1"/>
  <c r="D1313" i="1"/>
  <c r="D1316" i="1" s="1"/>
  <c r="C1313" i="1"/>
  <c r="C1316" i="1" s="1"/>
  <c r="F1313" i="1"/>
  <c r="F1316" i="1" s="1"/>
  <c r="G1313" i="1"/>
  <c r="G1316" i="1" s="1"/>
  <c r="H1313" i="1"/>
  <c r="H1316" i="1" s="1"/>
  <c r="I1319" i="1"/>
  <c r="I1328" i="1"/>
  <c r="I1329" i="1"/>
  <c r="I1330" i="1"/>
  <c r="I1331" i="1"/>
  <c r="I1332" i="1"/>
  <c r="I1333" i="1"/>
  <c r="I1334" i="1"/>
  <c r="I1335" i="1"/>
  <c r="I1336" i="1"/>
  <c r="E1337" i="1"/>
  <c r="E1359" i="1" s="1"/>
  <c r="D1337" i="1"/>
  <c r="D1359" i="1" s="1"/>
  <c r="C1337" i="1"/>
  <c r="C1359" i="1" s="1"/>
  <c r="F1337" i="1"/>
  <c r="F1359" i="1" s="1"/>
  <c r="G1359" i="1"/>
  <c r="H1359" i="1"/>
  <c r="D1355" i="1"/>
  <c r="D1357" i="1" s="1"/>
  <c r="D1360" i="1" s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E1355" i="1"/>
  <c r="E1357" i="1" s="1"/>
  <c r="E1360" i="1" s="1"/>
  <c r="F1355" i="1"/>
  <c r="F1357" i="1" s="1"/>
  <c r="G1355" i="1"/>
  <c r="G1357" i="1" s="1"/>
  <c r="G1360" i="1" s="1"/>
  <c r="I1372" i="1"/>
  <c r="I1373" i="1"/>
  <c r="I1374" i="1"/>
  <c r="E1387" i="1"/>
  <c r="I1376" i="1"/>
  <c r="I1377" i="1"/>
  <c r="I1378" i="1"/>
  <c r="I1379" i="1"/>
  <c r="I1380" i="1"/>
  <c r="I1381" i="1"/>
  <c r="I1382" i="1"/>
  <c r="I1383" i="1"/>
  <c r="I1384" i="1"/>
  <c r="I1385" i="1"/>
  <c r="I1386" i="1"/>
  <c r="D1387" i="1"/>
  <c r="F1387" i="1"/>
  <c r="G1387" i="1"/>
  <c r="I1389" i="1"/>
  <c r="I1390" i="1"/>
  <c r="E1391" i="1"/>
  <c r="D1391" i="1"/>
  <c r="C1391" i="1"/>
  <c r="F1391" i="1"/>
  <c r="G1391" i="1"/>
  <c r="I1403" i="1"/>
  <c r="I1398" i="1"/>
  <c r="I1400" i="1"/>
  <c r="I1401" i="1"/>
  <c r="I1404" i="1"/>
  <c r="I1405" i="1"/>
  <c r="I1406" i="1"/>
  <c r="I1407" i="1"/>
  <c r="I1408" i="1"/>
  <c r="I1409" i="1"/>
  <c r="I1410" i="1"/>
  <c r="I1411" i="1"/>
  <c r="I1412" i="1"/>
  <c r="I1413" i="1"/>
  <c r="I1414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7" i="1"/>
  <c r="I1438" i="1"/>
  <c r="I1439" i="1"/>
  <c r="I1440" i="1"/>
  <c r="I1441" i="1"/>
  <c r="I1442" i="1"/>
  <c r="I1448" i="1"/>
  <c r="I1449" i="1"/>
  <c r="I1451" i="1"/>
  <c r="I1452" i="1"/>
  <c r="I1455" i="1"/>
  <c r="I1456" i="1"/>
  <c r="I1457" i="1"/>
  <c r="I1458" i="1"/>
  <c r="I1459" i="1"/>
  <c r="I1460" i="1"/>
  <c r="I1461" i="1"/>
  <c r="I1462" i="1"/>
  <c r="I1464" i="1"/>
  <c r="I1465" i="1"/>
  <c r="I1466" i="1"/>
  <c r="F1467" i="1"/>
  <c r="I1471" i="1"/>
  <c r="I1472" i="1"/>
  <c r="E1473" i="1"/>
  <c r="C1473" i="1"/>
  <c r="F1473" i="1"/>
  <c r="G1473" i="1"/>
  <c r="H1473" i="1"/>
  <c r="I1480" i="1"/>
  <c r="I1489" i="1"/>
  <c r="I1490" i="1"/>
  <c r="I1491" i="1"/>
  <c r="I1492" i="1"/>
  <c r="I1493" i="1"/>
  <c r="I1494" i="1"/>
  <c r="E1495" i="1"/>
  <c r="E1506" i="1" s="1"/>
  <c r="D1495" i="1"/>
  <c r="D1506" i="1" s="1"/>
  <c r="C1495" i="1"/>
  <c r="C1506" i="1" s="1"/>
  <c r="F1495" i="1"/>
  <c r="F1506" i="1" s="1"/>
  <c r="G1495" i="1"/>
  <c r="G1506" i="1" s="1"/>
  <c r="H1495" i="1"/>
  <c r="I1500" i="1"/>
  <c r="I1501" i="1"/>
  <c r="I1503" i="1"/>
  <c r="E1504" i="1"/>
  <c r="E1507" i="1" s="1"/>
  <c r="D1504" i="1"/>
  <c r="D1507" i="1" s="1"/>
  <c r="C1504" i="1"/>
  <c r="C1507" i="1" s="1"/>
  <c r="F1504" i="1"/>
  <c r="F1507" i="1" s="1"/>
  <c r="G1504" i="1"/>
  <c r="G1507" i="1" s="1"/>
  <c r="H1504" i="1"/>
  <c r="H1507" i="1" s="1"/>
  <c r="I1510" i="1"/>
  <c r="I2245" i="1"/>
  <c r="I2246" i="1"/>
  <c r="H2247" i="1"/>
  <c r="I2249" i="1"/>
  <c r="I2250" i="1"/>
  <c r="I2251" i="1"/>
  <c r="I2252" i="1"/>
  <c r="I2253" i="1"/>
  <c r="I2254" i="1"/>
  <c r="I2255" i="1"/>
  <c r="H2256" i="1"/>
  <c r="I2258" i="1"/>
  <c r="I2259" i="1"/>
  <c r="I2260" i="1"/>
  <c r="I2261" i="1"/>
  <c r="I2262" i="1"/>
  <c r="F2263" i="1"/>
  <c r="H2263" i="1"/>
  <c r="I2266" i="1"/>
  <c r="I2267" i="1"/>
  <c r="I2268" i="1"/>
  <c r="I2269" i="1"/>
  <c r="I2270" i="1"/>
  <c r="I2271" i="1"/>
  <c r="I2272" i="1"/>
  <c r="F2273" i="1"/>
  <c r="H2273" i="1"/>
  <c r="I2275" i="1"/>
  <c r="F2276" i="1"/>
  <c r="H2276" i="1"/>
  <c r="I2278" i="1"/>
  <c r="I2281" i="1"/>
  <c r="I2282" i="1"/>
  <c r="I2283" i="1"/>
  <c r="F2284" i="1"/>
  <c r="H2284" i="1"/>
  <c r="I2287" i="1"/>
  <c r="F2288" i="1"/>
  <c r="H2288" i="1"/>
  <c r="I2291" i="1"/>
  <c r="I2293" i="1"/>
  <c r="I2294" i="1"/>
  <c r="F2295" i="1"/>
  <c r="D2355" i="1"/>
  <c r="I2303" i="1"/>
  <c r="I2304" i="1"/>
  <c r="I2305" i="1"/>
  <c r="I2306" i="1"/>
  <c r="I2307" i="1"/>
  <c r="I2308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F2355" i="1"/>
  <c r="G2355" i="1"/>
  <c r="G2387" i="1" s="1"/>
  <c r="I2359" i="1"/>
  <c r="I2360" i="1"/>
  <c r="F2361" i="1"/>
  <c r="H2361" i="1"/>
  <c r="I2364" i="1"/>
  <c r="I2365" i="1"/>
  <c r="F2366" i="1"/>
  <c r="H2366" i="1"/>
  <c r="I2369" i="1"/>
  <c r="I2370" i="1"/>
  <c r="H2371" i="1"/>
  <c r="I2376" i="1"/>
  <c r="I2377" i="1"/>
  <c r="F2378" i="1"/>
  <c r="I2382" i="1"/>
  <c r="H2383" i="1"/>
  <c r="H2386" i="1" s="1"/>
  <c r="I2399" i="1"/>
  <c r="G1112" i="1" l="1"/>
  <c r="D587" i="1"/>
  <c r="G1324" i="1"/>
  <c r="G918" i="1"/>
  <c r="C587" i="1"/>
  <c r="D588" i="1"/>
  <c r="F688" i="1"/>
  <c r="I656" i="1"/>
  <c r="E676" i="1"/>
  <c r="I662" i="1"/>
  <c r="C676" i="1"/>
  <c r="I676" i="1" s="1"/>
  <c r="D676" i="1"/>
  <c r="G676" i="1"/>
  <c r="H400" i="1"/>
  <c r="H2297" i="1"/>
  <c r="H2391" i="1" s="1"/>
  <c r="G1392" i="1"/>
  <c r="G1476" i="1" s="1"/>
  <c r="G622" i="1"/>
  <c r="I12" i="1"/>
  <c r="I455" i="1"/>
  <c r="G253" i="1"/>
  <c r="G400" i="1"/>
  <c r="G436" i="1" s="1"/>
  <c r="F1102" i="1"/>
  <c r="F1104" i="1" s="1"/>
  <c r="F1093" i="1"/>
  <c r="I1093" i="1" s="1"/>
  <c r="H1102" i="1"/>
  <c r="H1104" i="1" s="1"/>
  <c r="H1093" i="1"/>
  <c r="G1102" i="1"/>
  <c r="G1104" i="1" s="1"/>
  <c r="G1105" i="1" s="1"/>
  <c r="G1107" i="1" s="1"/>
  <c r="G1093" i="1"/>
  <c r="I695" i="1"/>
  <c r="G224" i="1"/>
  <c r="H2355" i="1"/>
  <c r="H2387" i="1" s="1"/>
  <c r="H2389" i="1" s="1"/>
  <c r="H2392" i="1" s="1"/>
  <c r="G154" i="1"/>
  <c r="G277" i="1"/>
  <c r="I897" i="1"/>
  <c r="I584" i="1"/>
  <c r="G1287" i="1"/>
  <c r="G1290" i="1" s="1"/>
  <c r="G1291" i="1" s="1"/>
  <c r="G1292" i="1" s="1"/>
  <c r="G1294" i="1" s="1"/>
  <c r="I1279" i="1"/>
  <c r="I1051" i="1"/>
  <c r="H859" i="1"/>
  <c r="D113" i="1"/>
  <c r="I649" i="1"/>
  <c r="G1220" i="1"/>
  <c r="I1029" i="1"/>
  <c r="I963" i="1"/>
  <c r="C883" i="1"/>
  <c r="I883" i="1" s="1"/>
  <c r="H838" i="1"/>
  <c r="E794" i="1"/>
  <c r="D917" i="1"/>
  <c r="E1287" i="1"/>
  <c r="E1290" i="1" s="1"/>
  <c r="E1291" i="1" s="1"/>
  <c r="E1292" i="1" s="1"/>
  <c r="E1294" i="1" s="1"/>
  <c r="I1236" i="1"/>
  <c r="E1147" i="1"/>
  <c r="E1148" i="1" s="1"/>
  <c r="E1149" i="1" s="1"/>
  <c r="E1151" i="1" s="1"/>
  <c r="D1147" i="1"/>
  <c r="D1148" i="1" s="1"/>
  <c r="D1149" i="1" s="1"/>
  <c r="G1076" i="1"/>
  <c r="G1077" i="1" s="1"/>
  <c r="G1079" i="1" s="1"/>
  <c r="I914" i="1"/>
  <c r="I903" i="1"/>
  <c r="I451" i="1"/>
  <c r="I160" i="1"/>
  <c r="I338" i="1"/>
  <c r="C1245" i="1"/>
  <c r="I1245" i="1" s="1"/>
  <c r="F1147" i="1"/>
  <c r="F1148" i="1" s="1"/>
  <c r="I2378" i="1"/>
  <c r="F2371" i="1"/>
  <c r="I2371" i="1" s="1"/>
  <c r="I1337" i="1"/>
  <c r="F1287" i="1"/>
  <c r="F1290" i="1" s="1"/>
  <c r="F1291" i="1" s="1"/>
  <c r="I1253" i="1"/>
  <c r="F1251" i="1"/>
  <c r="F1254" i="1" s="1"/>
  <c r="F1255" i="1" s="1"/>
  <c r="E1251" i="1"/>
  <c r="E1254" i="1" s="1"/>
  <c r="E1255" i="1" s="1"/>
  <c r="E1256" i="1" s="1"/>
  <c r="E1258" i="1" s="1"/>
  <c r="I1238" i="1"/>
  <c r="D1192" i="1"/>
  <c r="D1193" i="1" s="1"/>
  <c r="D1195" i="1" s="1"/>
  <c r="I165" i="1"/>
  <c r="F1392" i="1"/>
  <c r="F1476" i="1" s="1"/>
  <c r="F2386" i="1"/>
  <c r="I2386" i="1" s="1"/>
  <c r="I2295" i="1"/>
  <c r="F1220" i="1"/>
  <c r="H1147" i="1"/>
  <c r="H1148" i="1" s="1"/>
  <c r="I1144" i="1"/>
  <c r="G1147" i="1"/>
  <c r="G1148" i="1" s="1"/>
  <c r="G1149" i="1" s="1"/>
  <c r="G1151" i="1" s="1"/>
  <c r="I1033" i="1"/>
  <c r="I1000" i="1"/>
  <c r="G993" i="1"/>
  <c r="G1002" i="1" s="1"/>
  <c r="G1005" i="1" s="1"/>
  <c r="D1002" i="1"/>
  <c r="D1005" i="1" s="1"/>
  <c r="C317" i="1"/>
  <c r="I317" i="1" s="1"/>
  <c r="C253" i="1"/>
  <c r="I253" i="1" s="1"/>
  <c r="D1361" i="1"/>
  <c r="D1362" i="1" s="1"/>
  <c r="D1364" i="1" s="1"/>
  <c r="D1366" i="1" s="1"/>
  <c r="H965" i="1"/>
  <c r="H1004" i="1" s="1"/>
  <c r="C1355" i="1"/>
  <c r="C1357" i="1" s="1"/>
  <c r="C1360" i="1" s="1"/>
  <c r="C1361" i="1" s="1"/>
  <c r="E776" i="1"/>
  <c r="I2366" i="1"/>
  <c r="I2263" i="1"/>
  <c r="I1504" i="1"/>
  <c r="I1454" i="1"/>
  <c r="I1313" i="1"/>
  <c r="G1192" i="1"/>
  <c r="G1193" i="1" s="1"/>
  <c r="G1195" i="1" s="1"/>
  <c r="I1039" i="1"/>
  <c r="D1054" i="1"/>
  <c r="D1055" i="1" s="1"/>
  <c r="D1056" i="1" s="1"/>
  <c r="D1058" i="1" s="1"/>
  <c r="C873" i="1"/>
  <c r="I873" i="1" s="1"/>
  <c r="E838" i="1"/>
  <c r="I787" i="1"/>
  <c r="I786" i="1"/>
  <c r="I747" i="1"/>
  <c r="I724" i="1"/>
  <c r="G740" i="1"/>
  <c r="G917" i="1" s="1"/>
  <c r="E656" i="1"/>
  <c r="E224" i="1"/>
  <c r="I2361" i="1"/>
  <c r="I1473" i="1"/>
  <c r="I1450" i="1"/>
  <c r="D1444" i="1"/>
  <c r="H1317" i="1"/>
  <c r="E965" i="1"/>
  <c r="E1004" i="1" s="1"/>
  <c r="D945" i="1"/>
  <c r="E2386" i="1"/>
  <c r="E2389" i="1" s="1"/>
  <c r="I2276" i="1"/>
  <c r="C2355" i="1"/>
  <c r="I2355" i="1" s="1"/>
  <c r="I2284" i="1"/>
  <c r="I2256" i="1"/>
  <c r="F1474" i="1"/>
  <c r="F1477" i="1" s="1"/>
  <c r="G1474" i="1"/>
  <c r="G1477" i="1" s="1"/>
  <c r="I1453" i="1"/>
  <c r="I1391" i="1"/>
  <c r="E1392" i="1"/>
  <c r="E1476" i="1" s="1"/>
  <c r="F1188" i="1"/>
  <c r="I1075" i="1"/>
  <c r="I1068" i="1"/>
  <c r="F965" i="1"/>
  <c r="F1004" i="1" s="1"/>
  <c r="I870" i="1"/>
  <c r="H873" i="1"/>
  <c r="E873" i="1"/>
  <c r="I806" i="1"/>
  <c r="I738" i="1"/>
  <c r="D105" i="1"/>
  <c r="F1508" i="1"/>
  <c r="D1076" i="1"/>
  <c r="D1077" i="1" s="1"/>
  <c r="E993" i="1"/>
  <c r="E1002" i="1" s="1"/>
  <c r="E1005" i="1" s="1"/>
  <c r="I2383" i="1"/>
  <c r="D1467" i="1"/>
  <c r="D1392" i="1"/>
  <c r="D1476" i="1" s="1"/>
  <c r="D1287" i="1"/>
  <c r="D1290" i="1" s="1"/>
  <c r="D1291" i="1" s="1"/>
  <c r="D1292" i="1" s="1"/>
  <c r="D1294" i="1" s="1"/>
  <c r="G1251" i="1"/>
  <c r="G1254" i="1" s="1"/>
  <c r="G1255" i="1" s="1"/>
  <c r="G1256" i="1" s="1"/>
  <c r="G1258" i="1" s="1"/>
  <c r="D1254" i="1"/>
  <c r="D1255" i="1" s="1"/>
  <c r="D1256" i="1" s="1"/>
  <c r="D1258" i="1" s="1"/>
  <c r="E1220" i="1"/>
  <c r="E1221" i="1" s="1"/>
  <c r="E1223" i="1" s="1"/>
  <c r="C1216" i="1"/>
  <c r="C1219" i="1" s="1"/>
  <c r="C1220" i="1" s="1"/>
  <c r="H1192" i="1"/>
  <c r="F1054" i="1"/>
  <c r="E883" i="1"/>
  <c r="I731" i="1"/>
  <c r="H917" i="1"/>
  <c r="I708" i="1"/>
  <c r="C400" i="1"/>
  <c r="I400" i="1" s="1"/>
  <c r="C277" i="1"/>
  <c r="I277" i="1" s="1"/>
  <c r="G185" i="1"/>
  <c r="I2273" i="1"/>
  <c r="F2297" i="1"/>
  <c r="I2410" i="1"/>
  <c r="G2386" i="1"/>
  <c r="D2386" i="1"/>
  <c r="D2387" i="1"/>
  <c r="I2288" i="1"/>
  <c r="G2297" i="1"/>
  <c r="G2391" i="1" s="1"/>
  <c r="D2391" i="1"/>
  <c r="H1508" i="1"/>
  <c r="E1467" i="1"/>
  <c r="I1359" i="1"/>
  <c r="E1361" i="1"/>
  <c r="C1289" i="1"/>
  <c r="I1289" i="1" s="1"/>
  <c r="I1273" i="1"/>
  <c r="I1397" i="1"/>
  <c r="I1399" i="1"/>
  <c r="I1375" i="1"/>
  <c r="C1387" i="1"/>
  <c r="I1387" i="1" s="1"/>
  <c r="I1305" i="1"/>
  <c r="C1315" i="1"/>
  <c r="C1317" i="1" s="1"/>
  <c r="C1318" i="1" s="1"/>
  <c r="C1320" i="1" s="1"/>
  <c r="I2247" i="1"/>
  <c r="E2297" i="1"/>
  <c r="E2298" i="1" s="1"/>
  <c r="I1507" i="1"/>
  <c r="I1402" i="1"/>
  <c r="G1317" i="1"/>
  <c r="G1318" i="1" s="1"/>
  <c r="G1320" i="1" s="1"/>
  <c r="D1317" i="1"/>
  <c r="D1318" i="1" s="1"/>
  <c r="D1320" i="1" s="1"/>
  <c r="E1444" i="1"/>
  <c r="H1476" i="1"/>
  <c r="H1251" i="1"/>
  <c r="H1254" i="1" s="1"/>
  <c r="H1255" i="1" s="1"/>
  <c r="I1250" i="1"/>
  <c r="D1220" i="1"/>
  <c r="D1221" i="1" s="1"/>
  <c r="D1223" i="1" s="1"/>
  <c r="I1136" i="1"/>
  <c r="I1124" i="1"/>
  <c r="I1100" i="1"/>
  <c r="I1092" i="1"/>
  <c r="E1104" i="1"/>
  <c r="E1105" i="1" s="1"/>
  <c r="E1107" i="1" s="1"/>
  <c r="F1076" i="1"/>
  <c r="G1054" i="1"/>
  <c r="G1055" i="1" s="1"/>
  <c r="G1056" i="1" s="1"/>
  <c r="G1058" i="1" s="1"/>
  <c r="E1054" i="1"/>
  <c r="E1055" i="1" s="1"/>
  <c r="E1056" i="1" s="1"/>
  <c r="E1058" i="1" s="1"/>
  <c r="H1002" i="1"/>
  <c r="H1005" i="1" s="1"/>
  <c r="C859" i="1"/>
  <c r="I859" i="1" s="1"/>
  <c r="C838" i="1"/>
  <c r="C622" i="1"/>
  <c r="I622" i="1" s="1"/>
  <c r="D33" i="1"/>
  <c r="H1076" i="1"/>
  <c r="G1361" i="1"/>
  <c r="G1362" i="1" s="1"/>
  <c r="E1317" i="1"/>
  <c r="E1318" i="1" s="1"/>
  <c r="E1320" i="1" s="1"/>
  <c r="H1287" i="1"/>
  <c r="H1290" i="1" s="1"/>
  <c r="H1291" i="1" s="1"/>
  <c r="I1285" i="1"/>
  <c r="I1209" i="1"/>
  <c r="C1192" i="1"/>
  <c r="C1193" i="1" s="1"/>
  <c r="C1195" i="1" s="1"/>
  <c r="E1192" i="1"/>
  <c r="E1193" i="1" s="1"/>
  <c r="E1195" i="1" s="1"/>
  <c r="C1147" i="1"/>
  <c r="D1104" i="1"/>
  <c r="C1074" i="1"/>
  <c r="C1076" i="1" s="1"/>
  <c r="D965" i="1"/>
  <c r="D1004" i="1" s="1"/>
  <c r="E492" i="1"/>
  <c r="E455" i="1"/>
  <c r="E587" i="1" s="1"/>
  <c r="C224" i="1"/>
  <c r="I224" i="1" s="1"/>
  <c r="C154" i="1"/>
  <c r="I154" i="1" s="1"/>
  <c r="E1508" i="1"/>
  <c r="E1509" i="1" s="1"/>
  <c r="E1511" i="1" s="1"/>
  <c r="E2412" i="1" s="1"/>
  <c r="G1508" i="1"/>
  <c r="G1509" i="1" s="1"/>
  <c r="G1511" i="1" s="1"/>
  <c r="D1508" i="1"/>
  <c r="D1509" i="1" s="1"/>
  <c r="F1360" i="1"/>
  <c r="I1316" i="1"/>
  <c r="F1317" i="1"/>
  <c r="I1506" i="1"/>
  <c r="C1508" i="1"/>
  <c r="C1509" i="1" s="1"/>
  <c r="C1511" i="1" s="1"/>
  <c r="I1495" i="1"/>
  <c r="H1467" i="1"/>
  <c r="H1444" i="1"/>
  <c r="C1287" i="1"/>
  <c r="H1220" i="1"/>
  <c r="I1218" i="1"/>
  <c r="G965" i="1"/>
  <c r="G1004" i="1" s="1"/>
  <c r="I934" i="1"/>
  <c r="C939" i="1"/>
  <c r="C941" i="1" s="1"/>
  <c r="C942" i="1" s="1"/>
  <c r="C945" i="1" s="1"/>
  <c r="D873" i="1"/>
  <c r="D918" i="1" s="1"/>
  <c r="C1146" i="1"/>
  <c r="C1103" i="1"/>
  <c r="I1103" i="1" s="1"/>
  <c r="H1054" i="1"/>
  <c r="H1055" i="1" s="1"/>
  <c r="F1002" i="1"/>
  <c r="C993" i="1"/>
  <c r="C1002" i="1" s="1"/>
  <c r="C1005" i="1" s="1"/>
  <c r="I955" i="1"/>
  <c r="C958" i="1"/>
  <c r="I891" i="1"/>
  <c r="C892" i="1"/>
  <c r="I892" i="1" s="1"/>
  <c r="F1167" i="1"/>
  <c r="C1102" i="1"/>
  <c r="I1035" i="1"/>
  <c r="F1022" i="1"/>
  <c r="C794" i="1"/>
  <c r="I794" i="1" s="1"/>
  <c r="I757" i="1"/>
  <c r="C776" i="1"/>
  <c r="F740" i="1"/>
  <c r="F917" i="1" s="1"/>
  <c r="E740" i="1"/>
  <c r="E917" i="1" s="1"/>
  <c r="E622" i="1"/>
  <c r="E400" i="1"/>
  <c r="E436" i="1" s="1"/>
  <c r="E586" i="1" s="1"/>
  <c r="E185" i="1"/>
  <c r="I813" i="1"/>
  <c r="F838" i="1"/>
  <c r="F918" i="1" s="1"/>
  <c r="G317" i="1"/>
  <c r="E253" i="1"/>
  <c r="E154" i="1"/>
  <c r="G1370" i="1" l="1"/>
  <c r="G950" i="1"/>
  <c r="E1362" i="1"/>
  <c r="E1364" i="1" s="1"/>
  <c r="E1366" i="1" s="1"/>
  <c r="G2414" i="1"/>
  <c r="E2414" i="1"/>
  <c r="F689" i="1"/>
  <c r="C918" i="1"/>
  <c r="H918" i="1"/>
  <c r="H919" i="1" s="1"/>
  <c r="E918" i="1"/>
  <c r="E588" i="1"/>
  <c r="D688" i="1"/>
  <c r="D919" i="1"/>
  <c r="D920" i="1" s="1"/>
  <c r="D924" i="1" s="1"/>
  <c r="H1077" i="1"/>
  <c r="H1079" i="1" s="1"/>
  <c r="G380" i="1"/>
  <c r="G919" i="1"/>
  <c r="C1251" i="1"/>
  <c r="I1251" i="1" s="1"/>
  <c r="H2393" i="1"/>
  <c r="G1221" i="1"/>
  <c r="G1223" i="1" s="1"/>
  <c r="H1200" i="1" s="1"/>
  <c r="H1223" i="1" s="1"/>
  <c r="G1364" i="1"/>
  <c r="G1366" i="1" s="1"/>
  <c r="I1357" i="1"/>
  <c r="C185" i="1"/>
  <c r="I185" i="1" s="1"/>
  <c r="C1362" i="1"/>
  <c r="C1364" i="1" s="1"/>
  <c r="C1366" i="1" s="1"/>
  <c r="F2387" i="1"/>
  <c r="F2389" i="1" s="1"/>
  <c r="F2392" i="1" s="1"/>
  <c r="D1474" i="1"/>
  <c r="D1477" i="1" s="1"/>
  <c r="D1478" i="1" s="1"/>
  <c r="D1479" i="1" s="1"/>
  <c r="D1481" i="1" s="1"/>
  <c r="I1360" i="1"/>
  <c r="I1355" i="1"/>
  <c r="C1392" i="1"/>
  <c r="I1392" i="1" s="1"/>
  <c r="H1006" i="1"/>
  <c r="D1105" i="1"/>
  <c r="D1107" i="1" s="1"/>
  <c r="F1221" i="1"/>
  <c r="C1221" i="1"/>
  <c r="C1223" i="1" s="1"/>
  <c r="E380" i="1"/>
  <c r="D2298" i="1"/>
  <c r="F1149" i="1"/>
  <c r="D1151" i="1"/>
  <c r="I1219" i="1"/>
  <c r="D1006" i="1"/>
  <c r="D1007" i="1" s="1"/>
  <c r="D1009" i="1" s="1"/>
  <c r="C950" i="1" s="1"/>
  <c r="I1147" i="1"/>
  <c r="F1478" i="1"/>
  <c r="E2391" i="1"/>
  <c r="C929" i="1"/>
  <c r="F2391" i="1"/>
  <c r="H1318" i="1"/>
  <c r="H1320" i="1" s="1"/>
  <c r="I1076" i="1"/>
  <c r="H1151" i="1"/>
  <c r="I587" i="1"/>
  <c r="C380" i="1"/>
  <c r="I380" i="1" s="1"/>
  <c r="I346" i="1"/>
  <c r="D126" i="1"/>
  <c r="D687" i="1" s="1"/>
  <c r="D2406" i="1" s="1"/>
  <c r="D2389" i="1"/>
  <c r="D2392" i="1" s="1"/>
  <c r="D2393" i="1" s="1"/>
  <c r="D2395" i="1" s="1"/>
  <c r="D2400" i="1" s="1"/>
  <c r="C2387" i="1"/>
  <c r="H1193" i="1"/>
  <c r="H1195" i="1" s="1"/>
  <c r="G2389" i="1"/>
  <c r="G2392" i="1" s="1"/>
  <c r="G2393" i="1" s="1"/>
  <c r="E1006" i="1"/>
  <c r="E1007" i="1" s="1"/>
  <c r="E1009" i="1" s="1"/>
  <c r="I1444" i="1"/>
  <c r="I2297" i="1"/>
  <c r="F1077" i="1"/>
  <c r="F1079" i="1" s="1"/>
  <c r="I838" i="1"/>
  <c r="I1315" i="1"/>
  <c r="I1216" i="1"/>
  <c r="H1292" i="1"/>
  <c r="H1294" i="1" s="1"/>
  <c r="D1079" i="1"/>
  <c r="C1062" i="1" s="1"/>
  <c r="C1077" i="1" s="1"/>
  <c r="C1079" i="1" s="1"/>
  <c r="I719" i="1"/>
  <c r="C740" i="1"/>
  <c r="C917" i="1" s="1"/>
  <c r="G1478" i="1"/>
  <c r="E1474" i="1"/>
  <c r="E1477" i="1" s="1"/>
  <c r="E1478" i="1" s="1"/>
  <c r="E1479" i="1" s="1"/>
  <c r="E1481" i="1" s="1"/>
  <c r="I1074" i="1"/>
  <c r="I1508" i="1"/>
  <c r="H1105" i="1"/>
  <c r="H1107" i="1" s="1"/>
  <c r="F1191" i="1"/>
  <c r="I1191" i="1" s="1"/>
  <c r="I1188" i="1"/>
  <c r="C1104" i="1"/>
  <c r="C1107" i="1" s="1"/>
  <c r="I993" i="1"/>
  <c r="E2392" i="1"/>
  <c r="E126" i="1"/>
  <c r="F1053" i="1"/>
  <c r="I1022" i="1"/>
  <c r="I941" i="1"/>
  <c r="H1056" i="1"/>
  <c r="H1058" i="1" s="1"/>
  <c r="I939" i="1"/>
  <c r="F1361" i="1"/>
  <c r="I1220" i="1"/>
  <c r="F1509" i="1"/>
  <c r="D1511" i="1"/>
  <c r="D2412" i="1" s="1"/>
  <c r="C1054" i="1"/>
  <c r="I1046" i="1"/>
  <c r="C965" i="1"/>
  <c r="I958" i="1"/>
  <c r="F1005" i="1"/>
  <c r="F2407" i="1" s="1"/>
  <c r="I1002" i="1"/>
  <c r="G1006" i="1"/>
  <c r="I1102" i="1"/>
  <c r="I1287" i="1"/>
  <c r="C1290" i="1"/>
  <c r="I1467" i="1"/>
  <c r="I1317" i="1"/>
  <c r="F1318" i="1"/>
  <c r="H1509" i="1"/>
  <c r="H1511" i="1" s="1"/>
  <c r="I776" i="1"/>
  <c r="I1167" i="1"/>
  <c r="F1190" i="1"/>
  <c r="C1148" i="1"/>
  <c r="I1146" i="1"/>
  <c r="H1474" i="1"/>
  <c r="H1477" i="1" s="1"/>
  <c r="H1478" i="1" s="1"/>
  <c r="F1256" i="1"/>
  <c r="H1256" i="1"/>
  <c r="H1258" i="1" s="1"/>
  <c r="F1292" i="1"/>
  <c r="G2242" i="1" l="1"/>
  <c r="E919" i="1"/>
  <c r="E920" i="1" s="1"/>
  <c r="E924" i="1" s="1"/>
  <c r="G702" i="1"/>
  <c r="G920" i="1" s="1"/>
  <c r="G1007" i="1"/>
  <c r="G1009" i="1" s="1"/>
  <c r="H950" i="1" s="1"/>
  <c r="H1007" i="1" s="1"/>
  <c r="H1009" i="1" s="1"/>
  <c r="E688" i="1"/>
  <c r="D2407" i="1"/>
  <c r="D2408" i="1" s="1"/>
  <c r="D2409" i="1" s="1"/>
  <c r="D2411" i="1" s="1"/>
  <c r="D2414" i="1"/>
  <c r="F2406" i="1"/>
  <c r="C1254" i="1"/>
  <c r="C1255" i="1" s="1"/>
  <c r="E2393" i="1"/>
  <c r="E2395" i="1" s="1"/>
  <c r="E2400" i="1" s="1"/>
  <c r="C1476" i="1"/>
  <c r="I1476" i="1" s="1"/>
  <c r="G1479" i="1"/>
  <c r="G1481" i="1" s="1"/>
  <c r="F1479" i="1"/>
  <c r="F1481" i="1" s="1"/>
  <c r="I2387" i="1"/>
  <c r="H380" i="1"/>
  <c r="H688" i="1" s="1"/>
  <c r="I1079" i="1"/>
  <c r="I1077" i="1"/>
  <c r="D127" i="1"/>
  <c r="I1104" i="1"/>
  <c r="D689" i="1"/>
  <c r="D690" i="1" s="1"/>
  <c r="F2393" i="1"/>
  <c r="C2389" i="1"/>
  <c r="C2392" i="1" s="1"/>
  <c r="C2393" i="1" s="1"/>
  <c r="C1474" i="1"/>
  <c r="C1477" i="1" s="1"/>
  <c r="F1223" i="1"/>
  <c r="I1223" i="1" s="1"/>
  <c r="I1221" i="1"/>
  <c r="C919" i="1"/>
  <c r="I740" i="1"/>
  <c r="I2391" i="1"/>
  <c r="H1357" i="1"/>
  <c r="H1360" i="1" s="1"/>
  <c r="H1361" i="1" s="1"/>
  <c r="I1290" i="1"/>
  <c r="C1291" i="1"/>
  <c r="F1294" i="1"/>
  <c r="D2397" i="1"/>
  <c r="I1005" i="1"/>
  <c r="F1006" i="1"/>
  <c r="F919" i="1"/>
  <c r="I917" i="1"/>
  <c r="I1053" i="1"/>
  <c r="F1055" i="1"/>
  <c r="E127" i="1"/>
  <c r="E687" i="1"/>
  <c r="E2406" i="1" s="1"/>
  <c r="F1258" i="1"/>
  <c r="C1149" i="1"/>
  <c r="C1151" i="1" s="1"/>
  <c r="I1148" i="1"/>
  <c r="F1320" i="1"/>
  <c r="I1320" i="1" s="1"/>
  <c r="I1318" i="1"/>
  <c r="C1055" i="1"/>
  <c r="C1056" i="1" s="1"/>
  <c r="C1058" i="1" s="1"/>
  <c r="I1054" i="1"/>
  <c r="F1511" i="1"/>
  <c r="I1509" i="1"/>
  <c r="F1362" i="1"/>
  <c r="I1361" i="1"/>
  <c r="I942" i="1"/>
  <c r="I1190" i="1"/>
  <c r="F1192" i="1"/>
  <c r="I965" i="1"/>
  <c r="C1004" i="1"/>
  <c r="I918" i="1"/>
  <c r="F1151" i="1"/>
  <c r="E2407" i="1" l="1"/>
  <c r="E2408" i="1" s="1"/>
  <c r="E2409" i="1" s="1"/>
  <c r="E2411" i="1" s="1"/>
  <c r="E2415" i="1" s="1"/>
  <c r="G5" i="1"/>
  <c r="E2397" i="1"/>
  <c r="I1254" i="1"/>
  <c r="C2395" i="1"/>
  <c r="C2400" i="1" s="1"/>
  <c r="H1362" i="1"/>
  <c r="H1364" i="1" s="1"/>
  <c r="H1366" i="1" s="1"/>
  <c r="H2407" i="1"/>
  <c r="I1149" i="1"/>
  <c r="D2415" i="1"/>
  <c r="H689" i="1"/>
  <c r="C2405" i="1"/>
  <c r="I1474" i="1"/>
  <c r="I1477" i="1"/>
  <c r="C1478" i="1"/>
  <c r="C1479" i="1" s="1"/>
  <c r="C920" i="1"/>
  <c r="C924" i="1" s="1"/>
  <c r="C2298" i="1"/>
  <c r="I2392" i="1"/>
  <c r="I2389" i="1"/>
  <c r="I1151" i="1"/>
  <c r="C1256" i="1"/>
  <c r="I1255" i="1"/>
  <c r="C1006" i="1"/>
  <c r="C1007" i="1" s="1"/>
  <c r="C1009" i="1" s="1"/>
  <c r="I1004" i="1"/>
  <c r="I945" i="1"/>
  <c r="F1193" i="1"/>
  <c r="I1192" i="1"/>
  <c r="I1362" i="1"/>
  <c r="F1364" i="1"/>
  <c r="F1056" i="1"/>
  <c r="I1055" i="1"/>
  <c r="D696" i="1"/>
  <c r="E689" i="1"/>
  <c r="I919" i="1"/>
  <c r="F920" i="1"/>
  <c r="C1292" i="1"/>
  <c r="I1291" i="1"/>
  <c r="I1511" i="1"/>
  <c r="I2412" i="1"/>
  <c r="F1007" i="1"/>
  <c r="F2298" i="1" l="1"/>
  <c r="I1478" i="1"/>
  <c r="C2397" i="1"/>
  <c r="I1006" i="1"/>
  <c r="I1007" i="1"/>
  <c r="F1009" i="1"/>
  <c r="I1009" i="1" s="1"/>
  <c r="C1481" i="1"/>
  <c r="I1479" i="1"/>
  <c r="C1294" i="1"/>
  <c r="I1294" i="1" s="1"/>
  <c r="I1292" i="1"/>
  <c r="I920" i="1"/>
  <c r="F924" i="1"/>
  <c r="E690" i="1"/>
  <c r="I1364" i="1"/>
  <c r="F1366" i="1"/>
  <c r="I1193" i="1"/>
  <c r="F1195" i="1"/>
  <c r="I1195" i="1" s="1"/>
  <c r="C1258" i="1"/>
  <c r="C2414" i="1" s="1"/>
  <c r="I1256" i="1"/>
  <c r="I1056" i="1"/>
  <c r="F1058" i="1"/>
  <c r="I1481" i="1" l="1"/>
  <c r="H1479" i="1"/>
  <c r="H1481" i="1" s="1"/>
  <c r="I924" i="1"/>
  <c r="I1058" i="1"/>
  <c r="F2408" i="1"/>
  <c r="I1258" i="1"/>
  <c r="E696" i="1"/>
  <c r="G924" i="1" l="1"/>
  <c r="H924" i="1" s="1"/>
  <c r="I429" i="1" l="1"/>
  <c r="G113" i="1" l="1"/>
  <c r="G126" i="1" s="1"/>
  <c r="G586" i="1"/>
  <c r="G588" i="1" s="1"/>
  <c r="G688" i="1" l="1"/>
  <c r="G2407" i="1" s="1"/>
  <c r="G687" i="1"/>
  <c r="G2406" i="1" s="1"/>
  <c r="C113" i="1"/>
  <c r="G689" i="1" l="1"/>
  <c r="G2408" i="1"/>
  <c r="C436" i="1"/>
  <c r="I428" i="1"/>
  <c r="C126" i="1"/>
  <c r="C687" i="1" s="1"/>
  <c r="C2406" i="1" s="1"/>
  <c r="I113" i="1"/>
  <c r="I2406" i="1" l="1"/>
  <c r="I436" i="1"/>
  <c r="C586" i="1"/>
  <c r="C127" i="1"/>
  <c r="I126" i="1"/>
  <c r="I687" i="1"/>
  <c r="I586" i="1" l="1"/>
  <c r="C588" i="1"/>
  <c r="C688" i="1" s="1"/>
  <c r="C2407" i="1" s="1"/>
  <c r="I588" i="1" l="1"/>
  <c r="H2408" i="1" l="1"/>
  <c r="I688" i="1"/>
  <c r="C689" i="1"/>
  <c r="I689" i="1" l="1"/>
  <c r="C690" i="1"/>
  <c r="I2407" i="1"/>
  <c r="C2408" i="1"/>
  <c r="C2409" i="1" s="1"/>
  <c r="F1105" i="1"/>
  <c r="C2411" i="1" l="1"/>
  <c r="I2408" i="1"/>
  <c r="C696" i="1"/>
  <c r="F1107" i="1"/>
  <c r="F2414" i="1" s="1"/>
  <c r="C1105" i="1" l="1"/>
  <c r="C2415" i="1" l="1"/>
  <c r="I1105" i="1"/>
  <c r="I2414" i="1" l="1"/>
  <c r="F127" i="1"/>
  <c r="I127" i="1" s="1"/>
  <c r="F690" i="1"/>
  <c r="I690" i="1" l="1"/>
  <c r="F696" i="1"/>
  <c r="I696" i="1" s="1"/>
  <c r="H690" i="1" l="1"/>
  <c r="H696" i="1" s="1"/>
  <c r="H127" i="1"/>
  <c r="I2298" i="1"/>
  <c r="F2409" i="1"/>
  <c r="F2395" i="1"/>
  <c r="F2397" i="1" s="1"/>
  <c r="I2397" i="1" s="1"/>
  <c r="I2400" i="1" s="1"/>
  <c r="F2400" i="1" l="1"/>
  <c r="I2395" i="1"/>
  <c r="I2409" i="1"/>
  <c r="F2411" i="1"/>
  <c r="I2411" i="1" l="1"/>
  <c r="F2415" i="1"/>
  <c r="I2415" i="1" s="1"/>
  <c r="G2298" i="1"/>
  <c r="G2395" i="1"/>
  <c r="H2409" i="1" l="1"/>
  <c r="H2411" i="1" s="1"/>
  <c r="H2415" i="1" s="1"/>
  <c r="G2400" i="1"/>
  <c r="H2395" i="1" s="1"/>
  <c r="H2400" i="1" s="1"/>
  <c r="G2397" i="1"/>
  <c r="H2397" i="1" l="1"/>
  <c r="H2298" i="1"/>
  <c r="G127" i="1"/>
  <c r="G690" i="1"/>
  <c r="G696" i="1" s="1"/>
  <c r="G2405" i="1"/>
  <c r="G2409" i="1" s="1"/>
  <c r="G2411" i="1" s="1"/>
  <c r="G2415" i="1" s="1"/>
  <c r="K34" i="3"/>
</calcChain>
</file>

<file path=xl/sharedStrings.xml><?xml version="1.0" encoding="utf-8"?>
<sst xmlns="http://schemas.openxmlformats.org/spreadsheetml/2006/main" count="3977" uniqueCount="1298">
  <si>
    <t xml:space="preserve">GENERAL FUND REVENUE </t>
  </si>
  <si>
    <t>Ammended</t>
  </si>
  <si>
    <t>001-000</t>
  </si>
  <si>
    <t>YEAR TO DATE</t>
  </si>
  <si>
    <t>ESTIMATED</t>
  </si>
  <si>
    <t>PERCENT</t>
  </si>
  <si>
    <t>BUDGET</t>
  </si>
  <si>
    <t>RECEIVED</t>
  </si>
  <si>
    <t xml:space="preserve">BEGINNING OF YEAR FUND BALANCE </t>
  </si>
  <si>
    <t>Property Taxes</t>
  </si>
  <si>
    <t>TREASURER REVENUE</t>
  </si>
  <si>
    <t>PUBLIC TRUSTEE REVENUES</t>
  </si>
  <si>
    <t>SPECIFIC OWNERSHIP (from Gas pumps from State)</t>
  </si>
  <si>
    <t>INTEREST ON TAXES &amp; PENALTIES</t>
  </si>
  <si>
    <t xml:space="preserve">     Sub-Total</t>
  </si>
  <si>
    <t>Permits/Fees/Interest/Sale of Equip./Misc.</t>
  </si>
  <si>
    <t>TRANSIENT VENDOR PERMIT</t>
  </si>
  <si>
    <t>LIQUOR LICENSES</t>
  </si>
  <si>
    <t>FLOOD PLAIN DEVELOPMENT FEES</t>
  </si>
  <si>
    <t>BUILDING PERMITS</t>
  </si>
  <si>
    <t>PLAN REVIEW</t>
  </si>
  <si>
    <t>MECHANICAL PERMIT</t>
  </si>
  <si>
    <t>SEPTIC APPLICATIONS</t>
  </si>
  <si>
    <t>COMMISSIONERS REIMBURSEMENTS</t>
  </si>
  <si>
    <t>DEBS SCHOOLHOUSE DONATIONS</t>
  </si>
  <si>
    <t>SIGN PERMIT</t>
  </si>
  <si>
    <t>FAX REV</t>
  </si>
  <si>
    <t>COPIES</t>
  </si>
  <si>
    <t>OPERATING SOURCES</t>
  </si>
  <si>
    <t>EARNINGS ON INVESTMENTS</t>
  </si>
  <si>
    <t>TAX SALE PREMIUM BIDS</t>
  </si>
  <si>
    <t>SALE OF EQUIPMENT</t>
  </si>
  <si>
    <t>TRAILS ACCOUNT</t>
  </si>
  <si>
    <t>SAMPSON LAW FUNDS</t>
  </si>
  <si>
    <t>Revenue from State</t>
  </si>
  <si>
    <t>SR/VET EXEMPT PROP TAX</t>
  </si>
  <si>
    <t>WILDLIFE IMPACT (AG Grant)</t>
  </si>
  <si>
    <t>CIGARETTE TAX</t>
  </si>
  <si>
    <t>STATE VETERANS OFFICE</t>
  </si>
  <si>
    <t>STATE HISTORIC FUND - COURTHOUSE STABILIZATION</t>
  </si>
  <si>
    <t>DOLA MAIN ST/OTHER</t>
  </si>
  <si>
    <t>CWCB EMER-GRANT RWEACT TASK ORD #6</t>
  </si>
  <si>
    <t>CWCB EMER-GRANT RWEACT TASK ORD #6 ADM</t>
  </si>
  <si>
    <t>CWCB EMER-GRANT RWEACT TASK ORD #7</t>
  </si>
  <si>
    <t>CWCB EMER-GRANT RWEACT TASK ORD #7 ADM</t>
  </si>
  <si>
    <t>Service Charges/Fees/Fines</t>
  </si>
  <si>
    <t>TREASURER REFUNDS (overpayments)</t>
  </si>
  <si>
    <t>TREASURER SUSPENSE REVENUE</t>
  </si>
  <si>
    <t>CLERK &amp; RECORDER FEES</t>
  </si>
  <si>
    <t>ZONING &amp; SUBDIVISION FEES</t>
  </si>
  <si>
    <t>SPECIAL USE PERMIT</t>
  </si>
  <si>
    <t>ELECTION FEES (Clerk runs Elect for Others)</t>
  </si>
  <si>
    <t>REIMBURSEMENTS</t>
  </si>
  <si>
    <t>JUDICIAL FINES &amp; FEES (not Model Traffic Code)</t>
  </si>
  <si>
    <t>JUDICIAL/MODEL TRAFFIC CODE FINES</t>
  </si>
  <si>
    <t>RECEPTION BOOK FEES</t>
  </si>
  <si>
    <t>SENIOR VAN TRANSPORTATION FEES</t>
  </si>
  <si>
    <t>WILDLIFE FINES</t>
  </si>
  <si>
    <t>MARKETING COMMITTEE DONATIONS FROM OTHERS</t>
  </si>
  <si>
    <t>RIO GRANDE CUTTHROAT TROUT REIMBURSED</t>
  </si>
  <si>
    <t>UTE-ULAY SALE OF ORE</t>
  </si>
  <si>
    <t>UTE-ULAY HISTORICORP PROJECT</t>
  </si>
  <si>
    <t>Town Contracts</t>
  </si>
  <si>
    <t>TOWN OF L.C. - ENFORCEMENT OFFICER</t>
  </si>
  <si>
    <t>TOWN SHARE DEPUTY INSPECTOR TRAINEE</t>
  </si>
  <si>
    <t>Revenue from Federal Government</t>
  </si>
  <si>
    <t>PAYMENT IN LIEU OF TAXES (PILT)</t>
  </si>
  <si>
    <t>FEDERAL LEASING/SEVERANCE MONEY 2009</t>
  </si>
  <si>
    <t xml:space="preserve">    SEVERANCE </t>
  </si>
  <si>
    <t xml:space="preserve">    MINERAL LEASING</t>
  </si>
  <si>
    <t>ENVIRONMENTAL PROJ/Water Quality/BLM share $5,390</t>
  </si>
  <si>
    <t>ALPINE RANGER DONATIONS (Loop Project/Operating)</t>
  </si>
  <si>
    <t>Sales/Use Taxes</t>
  </si>
  <si>
    <t>SALES TAX - VEHICLES (Specific Ownership)</t>
  </si>
  <si>
    <t>SALES TAX - COUNTY 37%</t>
  </si>
  <si>
    <t>SALES TAX - LAKEFORK HEALTH SERVICE DISTRICT  20%</t>
  </si>
  <si>
    <t>SALES TAX - TOWN  43%</t>
  </si>
  <si>
    <t>USE TAX - VEHICLES</t>
  </si>
  <si>
    <t>USE TAX - CONSTRUCTION</t>
  </si>
  <si>
    <t>Transfers to GF Revenue from Other Funds/GF Fund Balance</t>
  </si>
  <si>
    <t>LO TAX HOLD FROM PREVIOUS YR FOR MARKETCOMMITTEE</t>
  </si>
  <si>
    <t>CLERK E-RECORDING REV</t>
  </si>
  <si>
    <t>CLERK CHECKING ACCT REV</t>
  </si>
  <si>
    <t>TRANSFER IN FROM FUND BALANCE GF</t>
  </si>
  <si>
    <t>INTERFUND TRANSFER FROM GF TO MARKETING COMMITTEE REV/EXP</t>
  </si>
  <si>
    <t>TRANSFER FROM LO TAX TO MARKETING COMMITTEE</t>
  </si>
  <si>
    <t>TRANSFERS</t>
  </si>
  <si>
    <t>TRANSFERS FROM OTHER FUNDS FOR WORK FOR OTHERS</t>
  </si>
  <si>
    <t>Total Revenues w/o Fund Balance</t>
  </si>
  <si>
    <t>Total Revenue Including Fund Balance</t>
  </si>
  <si>
    <t>TREASURER &amp; PUBLIC TRUSTEE</t>
  </si>
  <si>
    <t>001-001</t>
  </si>
  <si>
    <t>SPENT</t>
  </si>
  <si>
    <t>Description</t>
  </si>
  <si>
    <t xml:space="preserve"> </t>
  </si>
  <si>
    <t>PUBLIC TRUSTEE EXPENSES</t>
  </si>
  <si>
    <t>SALARIES PERMANENT</t>
  </si>
  <si>
    <t>HOURLY WAGES</t>
  </si>
  <si>
    <t>HEALTH INSURANCE</t>
  </si>
  <si>
    <t>HEALTH BENEFIT</t>
  </si>
  <si>
    <t>FICA</t>
  </si>
  <si>
    <t>MEDFICA</t>
  </si>
  <si>
    <t>LIFE INSURANCE</t>
  </si>
  <si>
    <t>OFFICE SUPPLIES &amp; MATERIALS</t>
  </si>
  <si>
    <t>COMPUTER SUPPLIES</t>
  </si>
  <si>
    <t>REIMBURSABLE EXPENSE</t>
  </si>
  <si>
    <t>PUBLICATION - LEGAL NOTICES</t>
  </si>
  <si>
    <t>PRINTING, BOOKS, CATALOGS</t>
  </si>
  <si>
    <t>POSTAGE</t>
  </si>
  <si>
    <t>TRAVEL &amp; MEETING - MILEAGE</t>
  </si>
  <si>
    <t>TRAVEL &amp; MEETING - MEALS</t>
  </si>
  <si>
    <t>SURETY BONDS</t>
  </si>
  <si>
    <t>EAGLE S/W SUPPORT AGREEMENT</t>
  </si>
  <si>
    <t>UTILITIES - TELEPHONE/INTERNET</t>
  </si>
  <si>
    <t>DUES - STATE TREASURERS ASSN</t>
  </si>
  <si>
    <t>OPERATING EXPENSE</t>
  </si>
  <si>
    <t>Total Expenditure</t>
  </si>
  <si>
    <t>ASSESSOR</t>
  </si>
  <si>
    <t>001-002</t>
  </si>
  <si>
    <t>SALARIES ASSESSOR</t>
  </si>
  <si>
    <t xml:space="preserve">HEALTH INSURANCE </t>
  </si>
  <si>
    <t>HEALTH BENEFIT IN LIEU OF INSURANCE</t>
  </si>
  <si>
    <t>COMPUTER SUPPLIES (Ink Cart, Labels)</t>
  </si>
  <si>
    <t>COMPUTER SOFTWARE(Apex, SPSS Maint Agree)</t>
  </si>
  <si>
    <t>PUBLICATION-LEGALS (Pagosa Sun, Silver World)</t>
  </si>
  <si>
    <t>PRINTING, BOOKS, CATALOGS (NOV-NOD-SPNOV-PERSONAL PROP)</t>
  </si>
  <si>
    <t>LODGING</t>
  </si>
  <si>
    <t>MEETING FEES/EXPENSES</t>
  </si>
  <si>
    <t>MAPPING OF LAND (GIS-GPS)($4/parcel &amp; $10/mine)</t>
  </si>
  <si>
    <t>EAGLE SOFTWARE MAINTENANCE AGREEMENT</t>
  </si>
  <si>
    <t>OFFICE MACHINE &amp; EQUIPMEMENT SERVICE</t>
  </si>
  <si>
    <t>SUBSCRIPTIONS,NEWSPAPERS</t>
  </si>
  <si>
    <t>MEMBERSHIP/ASSOCIATION DUES</t>
  </si>
  <si>
    <t>BUILDINGS &amp; GROUNDS</t>
  </si>
  <si>
    <t>001-003</t>
  </si>
  <si>
    <t>HOURLY OVERTIME (Employee Grounds Maint)</t>
  </si>
  <si>
    <t>MED FICA</t>
  </si>
  <si>
    <t>CLEANING SUPPLIES-ALL OFFICES</t>
  </si>
  <si>
    <t>MICROFILM, COPYING PAPER, ETC.</t>
  </si>
  <si>
    <t>COMPUTER/SOFTWARE SYSTEM UPGRADE</t>
  </si>
  <si>
    <t>PUBLICATION-LEGAL NOTICES</t>
  </si>
  <si>
    <t>PRINTING/COPYING, BOOKS, CATALOGS</t>
  </si>
  <si>
    <t>PROFESSIONAL SERVICES</t>
  </si>
  <si>
    <t>TECHNOLOGY-NEW/UPGRADE/REPLACE/HARDWARE</t>
  </si>
  <si>
    <t>MAINTENANCE DISASTER/HARDWARE RECOVERY INCODE</t>
  </si>
  <si>
    <t>MAINTENANCE AGREEMENT - XEROX</t>
  </si>
  <si>
    <t>MAINTENANCE AGREEMENT - GL</t>
  </si>
  <si>
    <t>OFFICE MACHINES &amp; EQUIP SERVICE</t>
  </si>
  <si>
    <t>BUILDING MAINTENANCE &amp; REPAIR</t>
  </si>
  <si>
    <t>GROUNDS MAINTENANCE</t>
  </si>
  <si>
    <t>UTILITIES - ELECTRIC</t>
  </si>
  <si>
    <t>UTILITIES - WATER &amp; SEWER</t>
  </si>
  <si>
    <t>UTILITIES-PROPANE</t>
  </si>
  <si>
    <t>UTILITIES-DUMPSTER</t>
  </si>
  <si>
    <t>ADA IMPROVEMENTS</t>
  </si>
  <si>
    <t>CAPP INSURANCE</t>
  </si>
  <si>
    <t>EQUIPMENT</t>
  </si>
  <si>
    <t>ALARM MONITORING AGREEMENT</t>
  </si>
  <si>
    <t>STATE HISTORIC FUND - COURTHOUSE ASSESSMENT</t>
  </si>
  <si>
    <t>001-004</t>
  </si>
  <si>
    <t>CLERK &amp; RECORDER</t>
  </si>
  <si>
    <t>HOURLY WAGES/OVERTIME</t>
  </si>
  <si>
    <t>MEETING EXP/TRAINING</t>
  </si>
  <si>
    <t>DIGITIZING RECORDS</t>
  </si>
  <si>
    <t>MAINTENANCE AGREEMENT- LEDS</t>
  </si>
  <si>
    <t>SUBSCRIPTIONS, NEWSPAPERS, ETC.</t>
  </si>
  <si>
    <t>DUES</t>
  </si>
  <si>
    <t>ELECTIONS (CLERK'S OFFICE)</t>
  </si>
  <si>
    <t>001-005</t>
  </si>
  <si>
    <t>BALLOTS (ODD YEARS)</t>
  </si>
  <si>
    <t>PUBLICATIONS - LEGAL NOTICES</t>
  </si>
  <si>
    <t>TRAVEL &amp; MEETING - LODGING</t>
  </si>
  <si>
    <t>ELECTION JUDGES/OFFICIALS</t>
  </si>
  <si>
    <t>MAINT AGREE/SUPPORT/LICENSE (Hart)</t>
  </si>
  <si>
    <t xml:space="preserve">VOTE COUNTER PROGRAMMING </t>
  </si>
  <si>
    <t>ELECTION EQUIP (HART-TALLY SERVO)</t>
  </si>
  <si>
    <r>
      <t xml:space="preserve">DISTRICT ATTORNEY FEE (PAID QUARTERLY) </t>
    </r>
    <r>
      <rPr>
        <b/>
        <i/>
        <sz val="8"/>
        <rFont val="Arial"/>
        <family val="2"/>
      </rPr>
      <t>SHARE .9% OF TOTAL</t>
    </r>
  </si>
  <si>
    <t>001-006</t>
  </si>
  <si>
    <t>DISTRICT ATTORNEY FEE (PAID QUARTERLY)</t>
  </si>
  <si>
    <t>OPERATING (SETTLEMENTS)</t>
  </si>
  <si>
    <t>WORKERS COMP</t>
  </si>
  <si>
    <t xml:space="preserve">COUNTY ATTORNEY </t>
  </si>
  <si>
    <t>001-007</t>
  </si>
  <si>
    <t>OFFICE SUPPLIES AND EXPENSES</t>
  </si>
  <si>
    <t>MEETING EXPENSES</t>
  </si>
  <si>
    <t>ATTORNEY FEES  (RETAINER)</t>
  </si>
  <si>
    <t>ATTORNEY FEES  (MONTHLY SERVICES)</t>
  </si>
  <si>
    <t>UTILITIES - TELEPHONE</t>
  </si>
  <si>
    <t>CORONER</t>
  </si>
  <si>
    <t>001-008</t>
  </si>
  <si>
    <t>PERSONAL EQUIPMENT &amp; SUPPLIES</t>
  </si>
  <si>
    <t>MEETING EXPENSES/TRAINING/REGISTRATIONS</t>
  </si>
  <si>
    <t>PROFESSIONAL SERVICES (DEPUTY CORONER FEE)</t>
  </si>
  <si>
    <t>MORGUE FEES</t>
  </si>
  <si>
    <t>PATHOLOGIST FEES</t>
  </si>
  <si>
    <t>MEMBERSHIP DUES</t>
  </si>
  <si>
    <t>PLANNING COMMISSION &amp; ZONING</t>
  </si>
  <si>
    <t>001-013</t>
  </si>
  <si>
    <t>OFFICE SUPPLIES &amp; MATERIALS/MAPS</t>
  </si>
  <si>
    <t>PUBLICATION/LEGAL NOTICES</t>
  </si>
  <si>
    <t>PRINTINE BOOKS/CATALOGS</t>
  </si>
  <si>
    <t>MEETING EXPENSE</t>
  </si>
  <si>
    <t>PROFESSIONAL SERVICES/CONSULTING</t>
  </si>
  <si>
    <t>OPERATING EXPENSES</t>
  </si>
  <si>
    <t xml:space="preserve">GENERAL ADMINISTRATION </t>
  </si>
  <si>
    <t>001-014</t>
  </si>
  <si>
    <t>OVERTIME</t>
  </si>
  <si>
    <t>AUDITOR FEES</t>
  </si>
  <si>
    <t>PROFESSIONAL SERVICES (Salary Survey, Other)</t>
  </si>
  <si>
    <t>TUITION - CONT. ED.</t>
  </si>
  <si>
    <t>MAINT AGREE Acctg Software/Maintenance (Incode)</t>
  </si>
  <si>
    <t>MAINT AGREE XEROX (ADMIN OFFICE)</t>
  </si>
  <si>
    <t>UTILITIES-TELEPHONE/INTERNET</t>
  </si>
  <si>
    <t xml:space="preserve">   CCCMA - $75</t>
  </si>
  <si>
    <t xml:space="preserve">   Club 20 -  $300</t>
  </si>
  <si>
    <t xml:space="preserve">BANK ACTIVITY CHARGE </t>
  </si>
  <si>
    <t>OPERATING EXPENSE (Contingencies)</t>
  </si>
  <si>
    <t>COMMISSIONERS</t>
  </si>
  <si>
    <t>001-015</t>
  </si>
  <si>
    <t>EMPLOYEE INCENTIVE (Flowers, cards, etc.)</t>
  </si>
  <si>
    <t>REIMBURSABLE TRAVEL</t>
  </si>
  <si>
    <t>COMMUNITY &amp; ECONOMIC DEVELOP</t>
  </si>
  <si>
    <t>001-016</t>
  </si>
  <si>
    <t>DEBS SCHOOLHOUSE EXPENSE/DONATIONS</t>
  </si>
  <si>
    <t>OPERATING DONATIONS (BUDGETED)</t>
  </si>
  <si>
    <t>LAKE PROJECT (NEW DAM)</t>
  </si>
  <si>
    <t>ALPINE RANGER DONATIONS (LFCF/Equipment)</t>
  </si>
  <si>
    <t>SAMPSON LAW FUND EXPENSE</t>
  </si>
  <si>
    <t>ALPINE RANGER DONATIONS (Operating/San Juan County)</t>
  </si>
  <si>
    <t>HINSDALE COUNTY VAN (JUBILEER)</t>
  </si>
  <si>
    <t>HINSDALE COUNTY VAN (2012 GOSHEN)</t>
  </si>
  <si>
    <t>TRAILS COMMISSION EXPENSES</t>
  </si>
  <si>
    <t>HISTORICORP PROJECTS</t>
  </si>
  <si>
    <t>UTE-ULAY ACQUISITION (NOT BUDGETED IN ADMIN)</t>
  </si>
  <si>
    <t>30 MILE RESORT EXPENSES</t>
  </si>
  <si>
    <t>SALES TAX DISTRIBUTION TO TOWN</t>
  </si>
  <si>
    <t xml:space="preserve">DUES/ASSESSMENTS       </t>
  </si>
  <si>
    <t>LAND TRUST REQUESTS</t>
  </si>
  <si>
    <t>UGRWCD ANNUAL MAINTENANCE STREAM FLOW GAUGE</t>
  </si>
  <si>
    <t>OPERATING DONATIONS (POST-BUDGET)</t>
  </si>
  <si>
    <t>001-803</t>
  </si>
  <si>
    <t>ENERGY IMPACT (EIAF)/COURTHOUSE SOFTWARE</t>
  </si>
  <si>
    <t>Sub-Total</t>
  </si>
  <si>
    <t>ENVIRONMENTAL PROJECTS (Water Quality Monitoring ) BLM ASSISTANCE $4630/and $4670 match</t>
  </si>
  <si>
    <t>001-804</t>
  </si>
  <si>
    <t>ENVIRONMENTAL PROJECTS (Water Quality Monitoring ) BLM</t>
  </si>
  <si>
    <t>001-806</t>
  </si>
  <si>
    <t>STATE HISTORIC FUND COURTHOUSE STABILIZATION</t>
  </si>
  <si>
    <t>Stabilization/Foundation, Site Work</t>
  </si>
  <si>
    <t>Rehabilitation/Wood Siding, Framework</t>
  </si>
  <si>
    <t>Architectural/Engineering, Archeology</t>
  </si>
  <si>
    <t>LAKE FORK ENTERPRISE SERVICE CONTRACT (NEW for 2014)</t>
  </si>
  <si>
    <t>001-807</t>
  </si>
  <si>
    <t>ROAD &amp; BRIDGE IN-KIND</t>
  </si>
  <si>
    <t>001-812</t>
  </si>
  <si>
    <t>MARKETING COMMITTEE</t>
  </si>
  <si>
    <t>MARKETING COMMITTEE EXPENSES</t>
  </si>
  <si>
    <t>001-813</t>
  </si>
  <si>
    <t>UTE-ULAY ACQUISITION: (FROM GRANTS/REIMBURSEMENTS)</t>
  </si>
  <si>
    <t>001-817</t>
  </si>
  <si>
    <t>ENERGY IMPACT (EIAF)/COURTHOUSE FIRE ESCAPE</t>
  </si>
  <si>
    <t>EQUIPMENT/Fire Escape, Humidistat</t>
  </si>
  <si>
    <t>Additional Funds</t>
  </si>
  <si>
    <t>001-818</t>
  </si>
  <si>
    <t>CWCB RWEACT TASK ORDER #1</t>
  </si>
  <si>
    <t>Professional Services</t>
  </si>
  <si>
    <t>Equipment</t>
  </si>
  <si>
    <t>001-819</t>
  </si>
  <si>
    <t>CWCB RWEACT TASK ORDER #2</t>
  </si>
  <si>
    <t>001-820</t>
  </si>
  <si>
    <t>CWCB RWEACT TASK ORDER #3</t>
  </si>
  <si>
    <t>001-910</t>
  </si>
  <si>
    <t>CWCB RWEACT TASK ORDER #4</t>
  </si>
  <si>
    <t>001-912</t>
  </si>
  <si>
    <t>CWCB RWEACT TASK ORDER #6</t>
  </si>
  <si>
    <t>001-913</t>
  </si>
  <si>
    <t>CWCB RWEACT TASK ORDER #7</t>
  </si>
  <si>
    <t>001-940</t>
  </si>
  <si>
    <t>RIO GRANDE CUTTHROAT TROUT (RGCT)</t>
  </si>
  <si>
    <t>TOTAL COMMUNITY &amp; ECONOMIC DEVELOPMENT</t>
  </si>
  <si>
    <t>TOTAL GRANTS</t>
  </si>
  <si>
    <t>COUNTY ENFORCEMENT OFFICER</t>
  </si>
  <si>
    <t>001-012</t>
  </si>
  <si>
    <t xml:space="preserve">WAGES HOURLY </t>
  </si>
  <si>
    <t>GAS, OIL, GREASE</t>
  </si>
  <si>
    <t>MOTOR VEHICLE PARTS</t>
  </si>
  <si>
    <t>TIRES, TUBES AND WHEELS</t>
  </si>
  <si>
    <t>OTHER SUPPLIES</t>
  </si>
  <si>
    <t>OFFICE SUPPLIES</t>
  </si>
  <si>
    <t>SMALL ITEMS OF EQUIPMENT</t>
  </si>
  <si>
    <t>COMMUNICATION, RADIOS, ETC.</t>
  </si>
  <si>
    <t>PUBLICATIONS/LEGAL NOTICES</t>
  </si>
  <si>
    <t>GIS MAPPING</t>
  </si>
  <si>
    <t>PROF SERV(WATER TESTING/OTHER SERVICES/ENGINEERING)</t>
  </si>
  <si>
    <t>MOTOR VEHICLE SERVICE</t>
  </si>
  <si>
    <t>SUBSCRIPTIONS</t>
  </si>
  <si>
    <t>LICENSE FEES TO STATE-Septic Permits</t>
  </si>
  <si>
    <t>TRANSFERS FROM GENERAL FUND</t>
  </si>
  <si>
    <t>001-980</t>
  </si>
  <si>
    <t>TREASURER'S COMMISSION</t>
  </si>
  <si>
    <t>TREASURER EXPENSE</t>
  </si>
  <si>
    <t>CLERK E-RECORDING EXP</t>
  </si>
  <si>
    <t>CLERK CHECKING EXP</t>
  </si>
  <si>
    <t>TRANSFER FROM GF FUND BALANCE TO AMB REPLACEMENT</t>
  </si>
  <si>
    <t>TRANSFER FROM GF FUND BALANCE TO CAP RESERVE</t>
  </si>
  <si>
    <t>TRANSFER FROM GF FUND BALANCE TO GROOMER/BOCC/WINTER REC</t>
  </si>
  <si>
    <t>MARKETING ADJUSTMENT</t>
  </si>
  <si>
    <t>TRANSFER FROM GF FUND BALANCE TO PH BOCC APPROVED</t>
  </si>
  <si>
    <t>TRANSFER FROM GF FUND BALANCE TO ES OPERATING</t>
  </si>
  <si>
    <t>TRANSFER FROM GF FUND BALANCE TO CONTINGENCY (EMER RESERVE)</t>
  </si>
  <si>
    <t>TRANSFER TO SHERIFF FOR OPERATING</t>
  </si>
  <si>
    <t>TRANSFER TO HS OPERATING</t>
  </si>
  <si>
    <t>TRANSFER TO RB FOR OPERATING</t>
  </si>
  <si>
    <t>TRANSFER FROM GF FUND BAL TO MARKETING COMMITTEE</t>
  </si>
  <si>
    <t>JUDICIAL TRANSFERS/MODEL TRAFFIC, OHV, UPS</t>
  </si>
  <si>
    <t>TREASURER REFUND EXPENSE</t>
  </si>
  <si>
    <t>TREASURER SUSPENSE EXPENSE</t>
  </si>
  <si>
    <t>VETERANS SERVICE OFFICER</t>
  </si>
  <si>
    <t>001-021</t>
  </si>
  <si>
    <t>SUPPLIES</t>
  </si>
  <si>
    <t>MAINT AGREEMENT - COMP SUPPORT ALL OFFICES</t>
  </si>
  <si>
    <t>DUES/MEMBERSHIPS</t>
  </si>
  <si>
    <t>001-700</t>
  </si>
  <si>
    <t>CAPITAL OUTLAY</t>
  </si>
  <si>
    <t>(All Capital Outlay Purchases are Placed Under Specific Office)</t>
  </si>
  <si>
    <t>CAPITAL OUTLAY-OFFICE EQUIPMENT (INCODE)</t>
  </si>
  <si>
    <r>
      <t>TECHNOLOGY UPGRADE/</t>
    </r>
    <r>
      <rPr>
        <b/>
        <sz val="8"/>
        <rFont val="Arial"/>
        <family val="2"/>
      </rPr>
      <t>SAVINGS</t>
    </r>
  </si>
  <si>
    <r>
      <t xml:space="preserve">ENFORCEMENT OFF/ADMIN VEHICLE </t>
    </r>
    <r>
      <rPr>
        <b/>
        <sz val="8"/>
        <rFont val="Arial"/>
        <family val="2"/>
      </rPr>
      <t xml:space="preserve">SVGS </t>
    </r>
  </si>
  <si>
    <t xml:space="preserve">CAPITAL OUTLAY-BUILDINGS </t>
  </si>
  <si>
    <t>GF TOTALS</t>
  </si>
  <si>
    <t xml:space="preserve">     Total General Fund Revenues</t>
  </si>
  <si>
    <t xml:space="preserve">     Total General Fund Expenditures</t>
  </si>
  <si>
    <t xml:space="preserve">     Balance (Revenues minus Expenditures)</t>
  </si>
  <si>
    <t xml:space="preserve">     Balance (Including Beginning Fund Balance)</t>
  </si>
  <si>
    <t xml:space="preserve">     USE OF FUND BALANCE (OPERATING)</t>
  </si>
  <si>
    <t>ALLOCATED FOR FUTURE EQUIPMENT REPLACE/UPGRADE</t>
  </si>
  <si>
    <t>ALLOCATED FOR FUTURE VEHICLE REPLACEMENT</t>
  </si>
  <si>
    <t xml:space="preserve">     RESTRICTED GF FUND BALANCE (Trails, Alpine Ranger)</t>
  </si>
  <si>
    <t xml:space="preserve">     Balance (Including Beginning Fund Bal)</t>
  </si>
  <si>
    <t>002</t>
  </si>
  <si>
    <t>ROAD &amp; BRIDGE</t>
  </si>
  <si>
    <t>Percent</t>
  </si>
  <si>
    <t>002-000</t>
  </si>
  <si>
    <t>REVENUES</t>
  </si>
  <si>
    <t>received</t>
  </si>
  <si>
    <t>Property Tax Income</t>
  </si>
  <si>
    <t>SPECIFIC OWNERSHIP</t>
  </si>
  <si>
    <t xml:space="preserve">     Total Property Tax Revenue</t>
  </si>
  <si>
    <t>Permits/Sales/Other Income</t>
  </si>
  <si>
    <t>ROAD CUT BOND/Refundable --see refund of bonds</t>
  </si>
  <si>
    <t>ROAD CUT PERMIT/Non-Refundable</t>
  </si>
  <si>
    <t>SALE OF MATERIALS</t>
  </si>
  <si>
    <t>MACHINE HIRE</t>
  </si>
  <si>
    <t>LABOR</t>
  </si>
  <si>
    <t>LABOR FOR LAKE SAN CRISTOBAL (LSCWAE)</t>
  </si>
  <si>
    <t>OPERATING</t>
  </si>
  <si>
    <t>HILL 71 RENT</t>
  </si>
  <si>
    <t xml:space="preserve">     Total Permits/Sales/Other</t>
  </si>
  <si>
    <t>State Revenues</t>
  </si>
  <si>
    <t>DIFFERENCE</t>
  </si>
  <si>
    <t>MVSA TAX</t>
  </si>
  <si>
    <t xml:space="preserve">     Total State Revenues</t>
  </si>
  <si>
    <t>Federal Revenues</t>
  </si>
  <si>
    <t>DUST CONTROL REIMBURSEMENT</t>
  </si>
  <si>
    <t>WORK OF FEDERAL AGENCIES/NON-GRANT</t>
  </si>
  <si>
    <t>RAC FUNDS (REIMBURSABLE GRANT)</t>
  </si>
  <si>
    <t xml:space="preserve">     Total Federal Revenues</t>
  </si>
  <si>
    <t>Transfer from Fund Balance</t>
  </si>
  <si>
    <t>TRANSFER IN FROM GF</t>
  </si>
  <si>
    <t>CDBG IN-KIND WORK FOR OTHERS</t>
  </si>
  <si>
    <t>USE OF FUND BALANCE</t>
  </si>
  <si>
    <t>TRANSFER FROM TITLE III FIRE FIGHTING</t>
  </si>
  <si>
    <t>TRANFER FROM RAC (WORK FOR OTHERS, ML, L,SOM)</t>
  </si>
  <si>
    <t>Total Revenue</t>
  </si>
  <si>
    <t>EXPENSES</t>
  </si>
  <si>
    <t>CONSTRUCTION</t>
  </si>
  <si>
    <t>002-500</t>
  </si>
  <si>
    <t>PROF SERVICES - ENGINEERING</t>
  </si>
  <si>
    <t>MAINTENANCE OF CONDITION</t>
  </si>
  <si>
    <t>002-510</t>
  </si>
  <si>
    <t>WAGES HOURLY</t>
  </si>
  <si>
    <t>OVERTIME PERMANENT</t>
  </si>
  <si>
    <t>WORKER'S COMPENSATION INSURANCE</t>
  </si>
  <si>
    <t>GAS, OIL, GREASE, DIESEL FUEL</t>
  </si>
  <si>
    <t>TIRES, TUBES, WHEELS</t>
  </si>
  <si>
    <t>MACHINERY &amp; HEAVY EQUIPMENT PARTS</t>
  </si>
  <si>
    <t>LUMBER, PAINTING. ELECTRICAL SUPPLY</t>
  </si>
  <si>
    <t>METAL PRODUCTS</t>
  </si>
  <si>
    <t>CRUSHED STONE/GRAVEL</t>
  </si>
  <si>
    <t>PROFESSIONAL SERVICES - OTHER</t>
  </si>
  <si>
    <t>HEAVY EQUIPMENT SERVICE</t>
  </si>
  <si>
    <t>MAINTENANCE &amp; REPAIR OTHER/BLDG</t>
  </si>
  <si>
    <t>WEED CONTROL/MAINTENANCE</t>
  </si>
  <si>
    <t>MACHINERY &amp; EQUIPMENT RENTAL</t>
  </si>
  <si>
    <t>SNOW REMOVAL</t>
  </si>
  <si>
    <t>002-520</t>
  </si>
  <si>
    <t>CHAINS</t>
  </si>
  <si>
    <t>MACHINERY &amp; HEAVY EQUIP PARTS</t>
  </si>
  <si>
    <t>TRAFFIC SERVICES</t>
  </si>
  <si>
    <t>002-530</t>
  </si>
  <si>
    <t>LUMBER, PAINTING, ELECTRICAL SUPPLIES</t>
  </si>
  <si>
    <t>CULVERT SUPPLIES</t>
  </si>
  <si>
    <t>SIGNS</t>
  </si>
  <si>
    <t>ASPHALT</t>
  </si>
  <si>
    <t>DUST CONTROL FEDERAL</t>
  </si>
  <si>
    <t>DUST CONTROL OTHER/MISC (COUNTY)</t>
  </si>
  <si>
    <t>ROAD &amp; BRIDGE ADMINISTRATION</t>
  </si>
  <si>
    <t>002-540</t>
  </si>
  <si>
    <t xml:space="preserve">SALARIES PERMANENT </t>
  </si>
  <si>
    <t>COMPUTER SUPPLIES/SOFTWARE</t>
  </si>
  <si>
    <t>PUBLICATION - LEGAL NOTICE</t>
  </si>
  <si>
    <t>TUITION-CONTINUING EDUCATION</t>
  </si>
  <si>
    <t>ALARM MONITORING SOUTHEND</t>
  </si>
  <si>
    <t>OPERATING EXPENSE (OPERATING)</t>
  </si>
  <si>
    <t>002-550</t>
  </si>
  <si>
    <t>SHOP FACILITY</t>
  </si>
  <si>
    <t>TOOL ALLOWANCES</t>
  </si>
  <si>
    <t>CLEANING SUPPLIES</t>
  </si>
  <si>
    <t>WORK FOR OTHERS</t>
  </si>
  <si>
    <t>PROFESSIONAL SERVICES/(RAC MACHINE HIRE (LABOR EXPENSE)</t>
  </si>
  <si>
    <t>002-570</t>
  </si>
  <si>
    <t>R&amp;B TRANSFER</t>
  </si>
  <si>
    <t>APPORTIONMENT TO TOWN OF LAKE  CITY (1/2 RB MIL ON LC VALUATION)</t>
  </si>
  <si>
    <t>NATL FOREST SERVICE PAYMENTS TO SCHOOL</t>
  </si>
  <si>
    <t>TREASURER'S COMMISSION (5% OF PROP TAX REV)</t>
  </si>
  <si>
    <t>CDBG IN-KIND TRANSFER ROAD &amp; BRIDGE WORK FOR OTHERS</t>
  </si>
  <si>
    <t>002-580</t>
  </si>
  <si>
    <t>R&amp;B RAC FUND EXPENSES</t>
  </si>
  <si>
    <t>ASPHALT/GRAVEL/MAG CHLORIDE</t>
  </si>
  <si>
    <t>PROFESSIONAL SERVICES/LABOR/MACHINE LABOR</t>
  </si>
  <si>
    <t>MACHINE RATE ONLY (HINSDALE COUNTY)</t>
  </si>
  <si>
    <t>HEAVY EQUIPMENT RENTAL/TOOL RENTAL</t>
  </si>
  <si>
    <t>ALL EXPENSES</t>
  </si>
  <si>
    <t>002-581</t>
  </si>
  <si>
    <t>CDOT/USFS AGREEMENT HAZARD TREES HWY 149</t>
  </si>
  <si>
    <t>REFUND OF DEPOSITS (BONDS)</t>
  </si>
  <si>
    <t>REFUND OF DEPOSITS (Road Cut Permit Bonds)</t>
  </si>
  <si>
    <t>002-700</t>
  </si>
  <si>
    <t>CAPITAL OUTLAY-HEAVY EQUIPMENT</t>
  </si>
  <si>
    <t>CAPITAL OUTLAY-GRAVEL</t>
  </si>
  <si>
    <t>CAPITAL OUTLAY-VEHICLE</t>
  </si>
  <si>
    <t>CAPITAL OUTLAY-TOOLS/EQUIPMENT</t>
  </si>
  <si>
    <t>LEASE - PRINCIPAL (SEE CAPITAL OUTLAY)</t>
  </si>
  <si>
    <t>LEASE - INTEREST (SEE CAPITAL OUTLAY)</t>
  </si>
  <si>
    <t>HILL 71</t>
  </si>
  <si>
    <t>HILL 71/EQUIPMENT PARTS</t>
  </si>
  <si>
    <t>HILL 71/OPERATING EXPENSES/TRAVEL/MILEAGE</t>
  </si>
  <si>
    <t>HILL 71/EQUIPMENT SERVICE</t>
  </si>
  <si>
    <t>RB TOTAL</t>
  </si>
  <si>
    <t>Total Revenues</t>
  </si>
  <si>
    <t>Balance - Revenues minus Expenditures</t>
  </si>
  <si>
    <t>Balance including Beginning Fund Balance</t>
  </si>
  <si>
    <t>ALLOCATED FOR EQUIPMENT REPLACEMENT/UPGRADES</t>
  </si>
  <si>
    <t>USE OF FUND BALANCE (CDBG IN-KIND MATCH)</t>
  </si>
  <si>
    <t>USE OF FUND BALANCE (OPERATING/OTHER)</t>
  </si>
  <si>
    <t>Ending Balance (Including Beginning Fund Balance)</t>
  </si>
  <si>
    <t>EMERGENCY RESERVES FUND (CONTINGENCY)</t>
  </si>
  <si>
    <t>Included in GF on Audit</t>
  </si>
  <si>
    <t>EMERGENCY REVENUES</t>
  </si>
  <si>
    <t>CARRIED FORWARD FROM PREVIOUS YEAR</t>
  </si>
  <si>
    <t>TRANSFER IN FROM GF FUND BALANCE</t>
  </si>
  <si>
    <t xml:space="preserve">EMERGENCY EXPENDITURES </t>
  </si>
  <si>
    <t>EMERGENCY EXPENDITURES</t>
  </si>
  <si>
    <t>Balance (Revenues minus Expenditures)</t>
  </si>
  <si>
    <t>USE OF FUND BALANCE (CARRYOVER)</t>
  </si>
  <si>
    <t>ENDING FUND BALANCE</t>
  </si>
  <si>
    <t>TRANSFER STATION FUND</t>
  </si>
  <si>
    <t>110-000</t>
  </si>
  <si>
    <t>TRANSFER STATION REVENUE</t>
  </si>
  <si>
    <t>SALVAGE SALE SOURCES</t>
  </si>
  <si>
    <t>RESERVE FOR DEPRECIATION</t>
  </si>
  <si>
    <t>TRANSFER STATION FEES COLLECTED</t>
  </si>
  <si>
    <t>TRANSFER STATION DEPOSITS</t>
  </si>
  <si>
    <t>RECYCLE ELECTRONICS</t>
  </si>
  <si>
    <t>Transfers from Other Funds</t>
  </si>
  <si>
    <t>110-041</t>
  </si>
  <si>
    <t>TRANSFER STATION EXPENSES</t>
  </si>
  <si>
    <t>HOURLY WAGES PART TIME</t>
  </si>
  <si>
    <t>UNEMPLOYMENT</t>
  </si>
  <si>
    <t>WORKER'S COMPENSATION</t>
  </si>
  <si>
    <t>EQUIPMENT PARTS/SERVICE</t>
  </si>
  <si>
    <t>PUBLICATIONS IN NEWSPAPER</t>
  </si>
  <si>
    <t>ANNUAL SOLID WASTE FEE</t>
  </si>
  <si>
    <t>RECYCLE EXPENSE - ELECTRONICS (GRX)</t>
  </si>
  <si>
    <t>RECYCLE EXPENSE- (Hauling)</t>
  </si>
  <si>
    <t>DUMP FEES TO GUNNISON</t>
  </si>
  <si>
    <t>HAULING LOOSE YARDAGE</t>
  </si>
  <si>
    <t>REFUND OF DEPOSITS</t>
  </si>
  <si>
    <t>DEPRECIATION</t>
  </si>
  <si>
    <t>SUB-TOTAL</t>
  </si>
  <si>
    <t>110-700</t>
  </si>
  <si>
    <t>CAPITAL OUTLAY - EQUIPMENT</t>
  </si>
  <si>
    <t>Capital Outlay - Ash Removal Savings</t>
  </si>
  <si>
    <t>Capital Outlay - Recycle Baler</t>
  </si>
  <si>
    <t>TOTAL TRANSFER STATION EXPENDITURES</t>
  </si>
  <si>
    <t>TITLE III FUND</t>
  </si>
  <si>
    <t>130-000</t>
  </si>
  <si>
    <t>TITLE III REVENUES</t>
  </si>
  <si>
    <t>TITLE III CURRENT RECEIPTS (2009 FORWARD)</t>
  </si>
  <si>
    <t>TITLE III PRE-2009 RECEIPTS</t>
  </si>
  <si>
    <t>USE OF FUND BALANCE (REQUIRED)</t>
  </si>
  <si>
    <t>TOTAL REVENUES</t>
  </si>
  <si>
    <t>130-801</t>
  </si>
  <si>
    <t>OLD TITLE III EXPENSES (PRE-2009 )</t>
  </si>
  <si>
    <t>TITLE III FOREST RECEIPT BEFORE 2009</t>
  </si>
  <si>
    <t>PH FOREST EDUCATION, DIRT YOUTH CORP $500,</t>
  </si>
  <si>
    <t>SILVER THREAD/LSC HYDRANT</t>
  </si>
  <si>
    <t>Sub Total</t>
  </si>
  <si>
    <t>130-802</t>
  </si>
  <si>
    <t>HOURLY WAGES/CWPP COORDINATOR</t>
  </si>
  <si>
    <t>UNEMPLOYMENT INSURANCE</t>
  </si>
  <si>
    <t>WORKERS COMP INSURANCE</t>
  </si>
  <si>
    <t>WILDFIRE PLANNING/SAR FED LANDS</t>
  </si>
  <si>
    <t>130-980</t>
  </si>
  <si>
    <t>TRANSFERS OUT</t>
  </si>
  <si>
    <t>TITLE I TO R &amp; B</t>
  </si>
  <si>
    <t>TITLE I TO SCHOOLS</t>
  </si>
  <si>
    <t>LAND TRUST FUND</t>
  </si>
  <si>
    <t>BEGINNING FUND BALANCE (Cash with Treasurer)</t>
  </si>
  <si>
    <t>Included in GF Fund Balance on Audit</t>
  </si>
  <si>
    <t>140-000</t>
  </si>
  <si>
    <t>LAND TRUST REVENUES</t>
  </si>
  <si>
    <t>PAYMENT IN LIEU OF LAND (SUB-DIVISIONS)</t>
  </si>
  <si>
    <t>TRANSFER FROM GENERAL FUND</t>
  </si>
  <si>
    <t>TOTAL REVENUE</t>
  </si>
  <si>
    <t>140-890</t>
  </si>
  <si>
    <t>LAND TRUST EXPENSES</t>
  </si>
  <si>
    <t>BANK ACTIVITY CHARGE</t>
  </si>
  <si>
    <t>IOOF CEMETERY FUND</t>
  </si>
  <si>
    <t>150-000</t>
  </si>
  <si>
    <t>CEMETERY REVENUES</t>
  </si>
  <si>
    <t>TRANSFER FROM GF</t>
  </si>
  <si>
    <t>150-833</t>
  </si>
  <si>
    <t>CEMETERY EXPENSES</t>
  </si>
  <si>
    <t>Expenses</t>
  </si>
  <si>
    <t>150-980</t>
  </si>
  <si>
    <t>Transfers</t>
  </si>
  <si>
    <t>TOTAL EXPENSES</t>
  </si>
  <si>
    <t>HUMAN SERVICES FUND</t>
  </si>
  <si>
    <t>210-000</t>
  </si>
  <si>
    <t>PUBLIC WELFARE REVENUES</t>
  </si>
  <si>
    <t>OPERATING SOURCES (REFUNDS, ETC)</t>
  </si>
  <si>
    <t>Transfers In</t>
  </si>
  <si>
    <t>TRANSFER FROM FUND BALANCE EXCESS</t>
  </si>
  <si>
    <t>PUBLIC WELFARE EXPENDITURES</t>
  </si>
  <si>
    <t>WELFARE ADMIN./TRAVEL/PROF/CS ENF (WAS 9350 HS)</t>
  </si>
  <si>
    <t>ASSISTANCE PAYMENTS (Aid to Needy and Disabled)- WAS 9351 HS</t>
  </si>
  <si>
    <t>CHILD WELFARE: FOSTER CARE SERVICES (CWEST) -(WAS 9352 HS)</t>
  </si>
  <si>
    <t>CHILD CARE- (WAS 9366 HS)</t>
  </si>
  <si>
    <t>DAY CARE:  COLORADO WORKS- (WAS 9368 HS)</t>
  </si>
  <si>
    <t>HUMAN SERVICES TRANSFER</t>
  </si>
  <si>
    <t>TREASURER'S COMMISSION (5% OF PROPERTY TAX REV)</t>
  </si>
  <si>
    <t>TRANSFER TO GF EXCESS FUND BALANCE</t>
  </si>
  <si>
    <t>RECREATION FUND</t>
  </si>
  <si>
    <t>120-000</t>
  </si>
  <si>
    <t>RECREATION REVENUES</t>
  </si>
  <si>
    <t>OPERATING INCOME</t>
  </si>
  <si>
    <t>WUPPERMAN CAMPGROUND FEES</t>
  </si>
  <si>
    <t>SOFT DRINK MACHINE REVENUES</t>
  </si>
  <si>
    <t xml:space="preserve">TRANSFER FROM CONSERVATION TRUST </t>
  </si>
  <si>
    <t>TRANSFER FROM RESERVES (FUND BALANCE)</t>
  </si>
  <si>
    <t>120-065</t>
  </si>
  <si>
    <t>RECREATION EXPENDITURES</t>
  </si>
  <si>
    <t>GAS, OIL, GREASE, FUEL</t>
  </si>
  <si>
    <t>LUMBER, PAINTING, ELECTRICAL</t>
  </si>
  <si>
    <t>OTHER SUPPLIES/EQUIPMENT</t>
  </si>
  <si>
    <t>SOFT DRINK PURCHASES</t>
  </si>
  <si>
    <t>UTILITIES - SEPTIC</t>
  </si>
  <si>
    <t xml:space="preserve">CLEANING  </t>
  </si>
  <si>
    <r>
      <t xml:space="preserve">WATER SYSTEM REPAIR/REPLACE see </t>
    </r>
    <r>
      <rPr>
        <b/>
        <sz val="8"/>
        <rFont val="Arial"/>
        <family val="2"/>
      </rPr>
      <t>CONS TRUST</t>
    </r>
  </si>
  <si>
    <t>CCOERA RETIREMENT FUND</t>
  </si>
  <si>
    <t>260-000</t>
  </si>
  <si>
    <t>RETIREMENT REVENUE</t>
  </si>
  <si>
    <t>GENERAL PROPERTY TAX ( .880 Mills)</t>
  </si>
  <si>
    <t>REFUND-FORFEITURE OF RETIREMENT</t>
  </si>
  <si>
    <t>260-880</t>
  </si>
  <si>
    <t>EMPLOYEE RETIREMENT COSTS</t>
  </si>
  <si>
    <t>PAYMENTS  TO CCOERA</t>
  </si>
  <si>
    <t>LODGING TAX MARKETING FUND</t>
  </si>
  <si>
    <t>%</t>
  </si>
  <si>
    <t>230-000</t>
  </si>
  <si>
    <t>LODGING TAX REVENUES</t>
  </si>
  <si>
    <t>LODGING TAX INCOME (1.9%%) Qtrs 1st-3rd Current Year</t>
  </si>
  <si>
    <t xml:space="preserve">    4th Quarter Revenue Previous Year-Disburse Current Year</t>
  </si>
  <si>
    <t>Returned Unused Previous Year</t>
  </si>
  <si>
    <t>TRANSFERS TO OTHER FUNDS</t>
  </si>
  <si>
    <t>Sub-Total Lodging Tax</t>
  </si>
  <si>
    <t>230-950</t>
  </si>
  <si>
    <r>
      <t xml:space="preserve">LODGING TAX </t>
    </r>
    <r>
      <rPr>
        <b/>
        <i/>
        <sz val="8"/>
        <rFont val="Arial"/>
        <family val="2"/>
      </rPr>
      <t>FUND</t>
    </r>
    <r>
      <rPr>
        <b/>
        <sz val="8"/>
        <rFont val="Arial"/>
        <family val="2"/>
      </rPr>
      <t xml:space="preserve"> EXPENSES</t>
    </r>
  </si>
  <si>
    <t>MARKETING DISBURSEMENTS</t>
  </si>
  <si>
    <t>USE OF EXCESS FUND BALANCE</t>
  </si>
  <si>
    <t>USE OF FUND BALANCE (REVENUE 4TH QTR Previous YR)</t>
  </si>
  <si>
    <t>230-980</t>
  </si>
  <si>
    <t>TRANSFER TO GF MARKETING COMMITTEE</t>
  </si>
  <si>
    <t>Total Expense Lodging Tax</t>
  </si>
  <si>
    <t>Total Revenues Lodging Tax Fund</t>
  </si>
  <si>
    <t>Total Expenditure Lodging Tax Fund</t>
  </si>
  <si>
    <t>Balance - Lodging Tax Fund REV LESS EXP</t>
  </si>
  <si>
    <t>Balance Lodging Tax Fund including Beginning Fund Balance</t>
  </si>
  <si>
    <t>Use of Fund Balance</t>
  </si>
  <si>
    <t>AMBULANCE REPLACEMENT FUND</t>
  </si>
  <si>
    <t>240-000</t>
  </si>
  <si>
    <t>AMBULANCE REPLACEMENT REVENUE</t>
  </si>
  <si>
    <t>INTEREST INCOME</t>
  </si>
  <si>
    <t>SALE OF OLD EQUIPMENT (TRADE-IN)</t>
  </si>
  <si>
    <t>AMBULANCE BARN ACCOUNT RESERVE</t>
  </si>
  <si>
    <t>CONTRIBUTION FROM GENERAL FUND</t>
  </si>
  <si>
    <t>PROVIDER GRANT</t>
  </si>
  <si>
    <t>OTHER GRANTS</t>
  </si>
  <si>
    <t>240-960</t>
  </si>
  <si>
    <t>AMBULANCE REPLACEMENT EXPENSES</t>
  </si>
  <si>
    <t>TRANSFER OUT TO EMS</t>
  </si>
  <si>
    <t>240-700</t>
  </si>
  <si>
    <t>Total Expenditures</t>
  </si>
  <si>
    <t>CONSERVATION TRUST FUND</t>
  </si>
  <si>
    <t>250-000</t>
  </si>
  <si>
    <t>CONSERVATION TRUST FUND REVENUES</t>
  </si>
  <si>
    <t>CONSERVATION TRUST- STATE REVENUE</t>
  </si>
  <si>
    <t>250-045</t>
  </si>
  <si>
    <t>CONSERVATION TRUST EXPENSES</t>
  </si>
  <si>
    <t>PARK CONSTRUCTION (Campground)</t>
  </si>
  <si>
    <t>PARK CONSTRUCTION (VETERAN'S PARK)</t>
  </si>
  <si>
    <t>ROAD CANYON</t>
  </si>
  <si>
    <t>SNOW GROOMING FUND</t>
  </si>
  <si>
    <t>270-000</t>
  </si>
  <si>
    <t>SNOW GROOMING REVENUES</t>
  </si>
  <si>
    <t>MACHINE LABOR/WORK FOR OTHERS</t>
  </si>
  <si>
    <t>MISC SOURCES</t>
  </si>
  <si>
    <t>LOCAL TRAIL MAINT REVENUE</t>
  </si>
  <si>
    <t>INTEREST ON REPLACEMENT FUNDS</t>
  </si>
  <si>
    <t>SALE OF EQUIPMENT (FOR Groomer Replacement)</t>
  </si>
  <si>
    <t>STATE TRAIL MAINT REVENUE</t>
  </si>
  <si>
    <t>WINTER RECREATION (FROM COMMUNITY &amp; EC DEV)</t>
  </si>
  <si>
    <t>270-590</t>
  </si>
  <si>
    <t>SNOW GROOMING EXPENSES</t>
  </si>
  <si>
    <t>MACHINERY &amp; HVY EQUIPMENT PARTS</t>
  </si>
  <si>
    <t>GROOMER SERVICES</t>
  </si>
  <si>
    <t>HEAVY EQUIP SERVICE/GROOMER TRANSPORT</t>
  </si>
  <si>
    <t>Restricted Funds for Groomer Replacement</t>
  </si>
  <si>
    <t>280-000</t>
  </si>
  <si>
    <t>EMERGENCY SERVICES REVENUES</t>
  </si>
  <si>
    <t>GENERAL PROPERTY TAX ( Mills)</t>
  </si>
  <si>
    <t>INTEREST ON TAXES</t>
  </si>
  <si>
    <t xml:space="preserve">EMPG/LEMS GRANT </t>
  </si>
  <si>
    <t>TRAINING/SHOTS DONATIONS</t>
  </si>
  <si>
    <t>EMS DONATIONS</t>
  </si>
  <si>
    <t>EQUIPMENT DONATIONS</t>
  </si>
  <si>
    <t>STATE EMS PROVIDER GRANT</t>
  </si>
  <si>
    <t>EMS SUBSIDY FROM STATE/REGION/WRETAC</t>
  </si>
  <si>
    <t>WRETAC MINI-GRANT</t>
  </si>
  <si>
    <t>CREATE GRANT/CO RURAL HEALTH</t>
  </si>
  <si>
    <t>PUBLIC EDUCATION &amp; TRAINING</t>
  </si>
  <si>
    <t>MAP/HAZARD MITIGATION GRANT &amp; MATCH</t>
  </si>
  <si>
    <t>280-970</t>
  </si>
  <si>
    <t xml:space="preserve">HOURLY WAGES </t>
  </si>
  <si>
    <t>WORKERS COMPENSATION INSURANCE</t>
  </si>
  <si>
    <t>OIL, GASOLINE, GREASE</t>
  </si>
  <si>
    <t>MOTOR VEHICLE PARTS, TIRES, ETC.</t>
  </si>
  <si>
    <t>SMALL ITEMS OF EQUIPMENT (AMBULANCE)</t>
  </si>
  <si>
    <t>COMMUNICATIONS,RADIOS, EQUIPMENT</t>
  </si>
  <si>
    <t>MEDICATION</t>
  </si>
  <si>
    <t>PERSONAL EQUIPMENT/NEW TECH &amp; COMPUTER</t>
  </si>
  <si>
    <t>EMT TRAINING REIMBURSEMENT</t>
  </si>
  <si>
    <t>PUBLICATION-LEGAL/ADVERTISING</t>
  </si>
  <si>
    <t>AMBULANCE BILLING SERVICE</t>
  </si>
  <si>
    <t>AMBULANCE BILLING CONTRACTUAL ADJUSTMENT</t>
  </si>
  <si>
    <t>AMBULANCE BILLING BAD DEBT</t>
  </si>
  <si>
    <t>AMBULANCE RUN MEALS &amp; EXPENSES</t>
  </si>
  <si>
    <t>TUITION - CONTINUING EDUCATION</t>
  </si>
  <si>
    <t>PUBLIC EDUCATION/TRAINING</t>
  </si>
  <si>
    <t>EMT RECERTIFICATION</t>
  </si>
  <si>
    <t>GUNNISON DISPATCH COMM SERVICE</t>
  </si>
  <si>
    <t>EQUIPMENT (TRAINING)</t>
  </si>
  <si>
    <t>EMT HEALTH CARE (Shots, Physicals, etc.)</t>
  </si>
  <si>
    <t>PHYSICIAN ADVISORY FEE</t>
  </si>
  <si>
    <t xml:space="preserve">EQUIPMENT SERVICE </t>
  </si>
  <si>
    <t>BUILDING MAINTENANCE &amp; REPAIR (INTERNAL)</t>
  </si>
  <si>
    <t>UTILITIES/OFFICE-GARARGE SPACE RENT(50%) (WAS 9367 EMS)</t>
  </si>
  <si>
    <t>DUES &amp; MEMBERSHIPS</t>
  </si>
  <si>
    <t>REFUNDS</t>
  </si>
  <si>
    <t>280-972</t>
  </si>
  <si>
    <t>EMERGENCY MANAGEMENT</t>
  </si>
  <si>
    <t>OFFICE/OPERATING SUPPLIES</t>
  </si>
  <si>
    <t>PUBLICATION/ADVERTISING</t>
  </si>
  <si>
    <t>TELEPHONE/INTERNET</t>
  </si>
  <si>
    <t>UTILITIES GARAGE SPACE RENT (50%)</t>
  </si>
  <si>
    <t>EMS TRANSFER</t>
  </si>
  <si>
    <t>TRANSFER TO OTHER FUNDS</t>
  </si>
  <si>
    <t>CAPITAL RESERVE FUND</t>
  </si>
  <si>
    <t>BEGINNING BALANCE ADJUSTED FROM GF PER 2013 AUDIT</t>
  </si>
  <si>
    <t>310-000</t>
  </si>
  <si>
    <t>OPERATING SOURCES/AUDIT ADJUSTMENTS</t>
  </si>
  <si>
    <t>SALE OF REAL PROPERTY</t>
  </si>
  <si>
    <t>USE OF FUND BALANCE/ADJUSTMENTS</t>
  </si>
  <si>
    <t xml:space="preserve">TRANSFERS FROM GENERAL FUND </t>
  </si>
  <si>
    <t>310-700</t>
  </si>
  <si>
    <t>EXPENDITURES</t>
  </si>
  <si>
    <t>CAPITAL EXPENDITURE (FUND BALANCE)</t>
  </si>
  <si>
    <t>310-980</t>
  </si>
  <si>
    <t>TRANSFERS TO FUND BALANCE</t>
  </si>
  <si>
    <t>Total Capital Reserve Fund Revenues</t>
  </si>
  <si>
    <t>Total Capital Reserve Fund Expenditures</t>
  </si>
  <si>
    <t>Balance (Revenues vs Expenditures)</t>
  </si>
  <si>
    <t>FUND BALANCE SVGS/NEW COURTHOUSE</t>
  </si>
  <si>
    <t>REVENUES/HINSDALE PH OPERATING</t>
  </si>
  <si>
    <t>GENERAL PROPERTY TAX (_.0_ Mills) ***</t>
  </si>
  <si>
    <t>MENTORING PROGRAM-UNDER BAG (SCHOOL &amp; PARTNERS)</t>
  </si>
  <si>
    <t>SCHOOL HEALTH NURSE</t>
  </si>
  <si>
    <t>SR SERVICES JUBILEER DONATION</t>
  </si>
  <si>
    <t>EL POMAR</t>
  </si>
  <si>
    <t>PILATES CLASS FEES</t>
  </si>
  <si>
    <t>COMFORT CARE</t>
  </si>
  <si>
    <t xml:space="preserve">BUILD A GENERATION DONATIONS </t>
  </si>
  <si>
    <t>CANCER WALK FUNDS</t>
  </si>
  <si>
    <t>HEALTH INSPECTION FEES (FOOD LICENSES)</t>
  </si>
  <si>
    <t xml:space="preserve">GUNNISON-HINSDALE DHS/TANF  </t>
  </si>
  <si>
    <t>HEALTH /WATER INSPECTION(CDPHE CONTRACT)</t>
  </si>
  <si>
    <t>CDOT SR VAN TRANSPORTATION GRANT</t>
  </si>
  <si>
    <t>HILLTOP BENEFITS GUIDE</t>
  </si>
  <si>
    <t>REGION 10 SENIOR COORDINATOR</t>
  </si>
  <si>
    <t>OFFICE OF BEHAVIORAL HEALTH</t>
  </si>
  <si>
    <t>EPR-EMER PREP GRANT</t>
  </si>
  <si>
    <t>EPR EXTRA FUNDING</t>
  </si>
  <si>
    <t>EBOLA FUNDING</t>
  </si>
  <si>
    <t>LCAMC CONTRACT NURSE</t>
  </si>
  <si>
    <t>MCH - PH NURSE- 13,313 (LPHA)</t>
  </si>
  <si>
    <t>REGION 10 HOMECARE GRANT</t>
  </si>
  <si>
    <t>TOBACCO PREVENTION GRANT</t>
  </si>
  <si>
    <t>CCPD/CARDIO PULMONARY/DELTA</t>
  </si>
  <si>
    <t>TEFAP (Commodities) GRANT</t>
  </si>
  <si>
    <t>CHILD FATALITY REVEW TEAM</t>
  </si>
  <si>
    <t xml:space="preserve">MEDICAL RESERVE CORP  GRANT (MRC) </t>
  </si>
  <si>
    <t>MRC NACCHO GRANT</t>
  </si>
  <si>
    <t>HCP (Children) - 1,000</t>
  </si>
  <si>
    <t>WORKSITE WELLNESS</t>
  </si>
  <si>
    <t>PUBLIC EDUCATION/TRAINING FEES</t>
  </si>
  <si>
    <t>VITAL STATISTICS SERVICES</t>
  </si>
  <si>
    <t>REIMBURSEMENTS/PH Nurse for Mineral</t>
  </si>
  <si>
    <t>VOLUNTARY FEE FOR SERVICE - HOMEMAKERS</t>
  </si>
  <si>
    <t>SENIOR VAN TRANSPORTATION (Donations)</t>
  </si>
  <si>
    <t>INSPECTION FEES (PRE-OP FOOD SERVCE)</t>
  </si>
  <si>
    <t xml:space="preserve">Transfers </t>
  </si>
  <si>
    <t>TRANSFERS IN FROM OTHER FUNDS/FUND BALANCE</t>
  </si>
  <si>
    <t>TRANSFER FROM GF FUND BALANCE (Title III)</t>
  </si>
  <si>
    <t>TRANSFER FROM GF CARRYOVERS</t>
  </si>
  <si>
    <t>TRANSFER FROM GF FUND BALANCE/BOCC ***</t>
  </si>
  <si>
    <t>TRANSFER FROM FUND BALANCE</t>
  </si>
  <si>
    <t>Total Public Health Revenues</t>
  </si>
  <si>
    <t>HOURLY WAGES PERMANENT</t>
  </si>
  <si>
    <t>OFFICE SUPPLIES/EDUCATIONAL MATERIALS</t>
  </si>
  <si>
    <t>PUBLIC EDUCATION/TRAINING EXPENSE</t>
  </si>
  <si>
    <t>SUBSTANE ABUSE COUNSELING MONEY EXP</t>
  </si>
  <si>
    <t>MAINTENANCE AGREEMENT-XEROX</t>
  </si>
  <si>
    <t>DUES/MEMBERSHIPS (Nursing License, etc)</t>
  </si>
  <si>
    <t>MCH NURSE/IMMUNIZATION</t>
  </si>
  <si>
    <t>MCH NURSE/SCHOOL NURSE</t>
  </si>
  <si>
    <t>LCAMC NURSE</t>
  </si>
  <si>
    <t>OFFICE SUPPLIES/EDUCATIONAL MATERIAL</t>
  </si>
  <si>
    <t>PUBLIC HEALTH ADMINISTRATION</t>
  </si>
  <si>
    <t>Administrative Services</t>
  </si>
  <si>
    <t>PUBLICATION/LEGAL NOTICES/ADVERTISING</t>
  </si>
  <si>
    <t>VITAL STATISTICS EXPENSES</t>
  </si>
  <si>
    <t>MAINT AGREEMENT XEROX</t>
  </si>
  <si>
    <t>UTILITIES-ELECTRIC</t>
  </si>
  <si>
    <t>UTILITIES-WATER &amp; SEWER</t>
  </si>
  <si>
    <t>UTILITIES-DUMPSTER &amp; SEPTIC</t>
  </si>
  <si>
    <t>OPERATING/OFFICE SUPPLIES</t>
  </si>
  <si>
    <t>CONSUMER PROTECTION</t>
  </si>
  <si>
    <t>LICENSE FEES TO STATE</t>
  </si>
  <si>
    <t>VITAL STATISTICS</t>
  </si>
  <si>
    <t>COMMUNITY SERVICES</t>
  </si>
  <si>
    <t>PRINTING/BOOKS/CATALOGS</t>
  </si>
  <si>
    <t>POSTAGE/SHIPPING</t>
  </si>
  <si>
    <t>TRAINING</t>
  </si>
  <si>
    <t>INSTRUCTOR/TRAINER</t>
  </si>
  <si>
    <t>CONTRACT INDIRECT EXP</t>
  </si>
  <si>
    <t>UTILITES-ELECTRIC</t>
  </si>
  <si>
    <t>UTILITIES-WATER/SEWER</t>
  </si>
  <si>
    <t>UTILITIES-TELEPH/INTERNET</t>
  </si>
  <si>
    <t xml:space="preserve">OPERATING EXPENSE </t>
  </si>
  <si>
    <t>TOBACCO AWARENESS/CESSATION PROGRAM JUNE 2015-JULY 2016</t>
  </si>
  <si>
    <t>REGION 10 HOMECARE PROGRAM JUL1-JUNE 30</t>
  </si>
  <si>
    <t>PUBLICATION</t>
  </si>
  <si>
    <t>TRAINING/OTHER/OPERATING</t>
  </si>
  <si>
    <t>REGION 10 SENIOR COORDINATOR JUL 1-JUN 30</t>
  </si>
  <si>
    <t>OFFICE SUPPLIES/MATERIALS</t>
  </si>
  <si>
    <t>OPERATING/INCENTIVES</t>
  </si>
  <si>
    <t>CHILD FATALITY REVIEW TEAM (CFRT)</t>
  </si>
  <si>
    <t>OPERATING/SUPPLIES</t>
  </si>
  <si>
    <t>BUILD A GENERATION DONATION</t>
  </si>
  <si>
    <t>OFFICE SUPPLIES/OPERATING</t>
  </si>
  <si>
    <t>BAG DONATION EXPENSE</t>
  </si>
  <si>
    <t>RENT/UTILITIES</t>
  </si>
  <si>
    <t>OPERATING (CARRYOVER FROM FUND BALANCE)</t>
  </si>
  <si>
    <t>SUMMER YOUTH SUPPLIES</t>
  </si>
  <si>
    <t>YOUTH ASSISSTANTS</t>
  </si>
  <si>
    <t>YOUTH EVENTS</t>
  </si>
  <si>
    <t>CCPD FUNDING (Delta Contract)</t>
  </si>
  <si>
    <t>SUPPLIES/PROMOTIONAL</t>
  </si>
  <si>
    <t>SUPPLIES/EVENTS</t>
  </si>
  <si>
    <t>ADVERTISING/MEDIA</t>
  </si>
  <si>
    <t>PRINTING/COPYING</t>
  </si>
  <si>
    <t>PROFESSIONAL SERVICES/SUBCONTRACTOR</t>
  </si>
  <si>
    <t>PHONE/FAX/INTERNET</t>
  </si>
  <si>
    <t>UTILITES/ELECTRIC/PROPANE/DUMPSTER</t>
  </si>
  <si>
    <t>HINSDALE DHS/TANF (Gunnison County)</t>
  </si>
  <si>
    <t>TARA 2.5 HRS/WK</t>
  </si>
  <si>
    <t>MEAL DONATIONS/PUBLIC/SR MEAL MONEY</t>
  </si>
  <si>
    <t>PUBLICATION LEGALS/ADVERTISING</t>
  </si>
  <si>
    <t>MEETING EXP/SPEAKERS/PUBLICATION</t>
  </si>
  <si>
    <t>INSTRUCTOR/TRAINER/DRIVER</t>
  </si>
  <si>
    <t>EBOLA FUNDING (JUNE 2015-SEPT 2016)</t>
  </si>
  <si>
    <t>IT ASSISTANCE</t>
  </si>
  <si>
    <t xml:space="preserve">EMERGENCY PREPAREDNESS-EPR GRANT </t>
  </si>
  <si>
    <t>OPERATING/SUPPLIES/UTILITIES</t>
  </si>
  <si>
    <t>CONTRACT INDIRECT EXPENSES</t>
  </si>
  <si>
    <t>UTILITIES/PROPANE</t>
  </si>
  <si>
    <t>TEFAP-COMMODITIES</t>
  </si>
  <si>
    <t>WAGES SALARY</t>
  </si>
  <si>
    <t>EL POMAR (Grant in Progess 2016)</t>
  </si>
  <si>
    <t>MILEAGE TRANSPORTATION</t>
  </si>
  <si>
    <t>RENTAL/UTILITY ASSISTANCE</t>
  </si>
  <si>
    <t>Description (USE BY JUNE)</t>
  </si>
  <si>
    <t>WAGES HOURLY/PERSONNEL</t>
  </si>
  <si>
    <t>COMMUNICATIONS</t>
  </si>
  <si>
    <t>REGISTRATION</t>
  </si>
  <si>
    <t>TRAVEL OPERATING EXPENSE</t>
  </si>
  <si>
    <t xml:space="preserve">MRC (MEDICAL RESERVE CORP) GRANT  </t>
  </si>
  <si>
    <t>EDUCATIONAL MATERIAL</t>
  </si>
  <si>
    <t>TRAINING/REGISTRATIONS</t>
  </si>
  <si>
    <t>INSTRUCTOR</t>
  </si>
  <si>
    <t>CONTRACT INDIRECT EXPENSE</t>
  </si>
  <si>
    <t>EQUIPMENT &amp; SUPPLIES</t>
  </si>
  <si>
    <t>PILATES EXERCISE EXPENSES (FROM CLASS FEES)</t>
  </si>
  <si>
    <t>SCREENING &amp; TESTING</t>
  </si>
  <si>
    <t>Total Public Health Nurse/Admin/Consumer Expenditures</t>
  </si>
  <si>
    <t>Total Grant Expenditures</t>
  </si>
  <si>
    <t xml:space="preserve">      Total Expenditures</t>
  </si>
  <si>
    <t>TRANSFERS FROM PUBLIC HEALTH</t>
  </si>
  <si>
    <t>DESCRIPTION</t>
  </si>
  <si>
    <t>TRANSFER OUT FROM FUND BALANCE</t>
  </si>
  <si>
    <t>Use of Fund Balance Reserve</t>
  </si>
  <si>
    <t>ENDING FUND BALANCE (Cash)</t>
  </si>
  <si>
    <t>Restricted:SR SERVICES JUBILEER DONATION</t>
  </si>
  <si>
    <t>004</t>
  </si>
  <si>
    <t>SHERIFF FUND</t>
  </si>
  <si>
    <t>004-000</t>
  </si>
  <si>
    <t>Revenues</t>
  </si>
  <si>
    <t>SALE OF EQUIPMENT-SHERIFF(EXPEND-CAPITAL OUTLAY)</t>
  </si>
  <si>
    <t>TOYS FOR TOTS/HELMETS-DARE (Expensed #59535)</t>
  </si>
  <si>
    <t>EQUIPMENT DONATIONS (Expensed #59536)</t>
  </si>
  <si>
    <t>ASSET FORFEITURES (Expensed #59437)</t>
  </si>
  <si>
    <t>ATV FINES</t>
  </si>
  <si>
    <t>Revenue from State/Grants, Etc</t>
  </si>
  <si>
    <t>SHERIFF SEARCH &amp; RESCUE GRANT(Expensed #59539)</t>
  </si>
  <si>
    <t>POST FUNDS (Expensed #69390)</t>
  </si>
  <si>
    <t>COURTROOM SECURITY GRANT(Expensed 004-815)</t>
  </si>
  <si>
    <t>GUNNISON COURTROOM SECURITY(Expensed 004-817)</t>
  </si>
  <si>
    <t>EFF REIMBURSEMENT</t>
  </si>
  <si>
    <t>SHERIFF BONDS (ARREST)  Budget $0, Expense #59532</t>
  </si>
  <si>
    <t>VEHICLE INSPECTION FEES</t>
  </si>
  <si>
    <t>SHERIFF'S FEES</t>
  </si>
  <si>
    <t>REIMBURSABLE EQUIP/SUPPLIES/TRAINING (Expensed #59850)</t>
  </si>
  <si>
    <t>JUDICIAL SYSTEM FINES &amp; FEES</t>
  </si>
  <si>
    <t>TOWN OF L.C. - LAW ENFORCEMENT</t>
  </si>
  <si>
    <t>FOREST PATROL - N.F./BLM(Expense #69393)</t>
  </si>
  <si>
    <t xml:space="preserve">  Rio Grande/San Juan N.F. Patrol - </t>
  </si>
  <si>
    <t xml:space="preserve">  BLM Patrol - </t>
  </si>
  <si>
    <t>BLOCK GRANT-JAG (RURAL LAW ENFORCEMENT REIMBURSED OUTLAY #70550)</t>
  </si>
  <si>
    <t>JAG GRANT</t>
  </si>
  <si>
    <t>BLM FUNDS/SHERIFF (Expensed #69889)</t>
  </si>
  <si>
    <t>Restricted Funds</t>
  </si>
  <si>
    <t>SHERIFF PROPERTY SALES-RESTRICTED</t>
  </si>
  <si>
    <t>Transfers IN</t>
  </si>
  <si>
    <t>TRANSFERS IN FROM GENERAL FUND</t>
  </si>
  <si>
    <t>FUND BALANCE FOR VEHICLE REPLACEMENT SVGS</t>
  </si>
  <si>
    <t>TRANSFER IN FROM TITLE III FOR FIRE FIGHTING</t>
  </si>
  <si>
    <t>FUND BALANCE FOR OPERATING EXPENSES</t>
  </si>
  <si>
    <t>SHERIFF</t>
  </si>
  <si>
    <t>004-010</t>
  </si>
  <si>
    <t>OPERATING SUPPLIES</t>
  </si>
  <si>
    <t>COMMUNICATION, RADIOS, ETC. (see JAG Grant)</t>
  </si>
  <si>
    <t>JUVENILE DIVERSION</t>
  </si>
  <si>
    <t>ASSET FORFEITURE (INCOME #32480)</t>
  </si>
  <si>
    <t>SHERIFF BOND (ARREST) Budget $0, Income #33630</t>
  </si>
  <si>
    <t>TOYS FOR TOTS/HELMETS (INCOME #32460)</t>
  </si>
  <si>
    <t>EQUIPMENT DONATION (INCOME #32470)</t>
  </si>
  <si>
    <t>SHERIFF SEARCH AND RESCUE GRANT</t>
  </si>
  <si>
    <t xml:space="preserve">REIMB EQUIP/SUPPLIES/TRAINING (INCOME #34200) </t>
  </si>
  <si>
    <t>PRINTING, BOOKS, CATALOGS moved to 68000</t>
  </si>
  <si>
    <t>MOTOR VEHICLE SERVICE - LABOR</t>
  </si>
  <si>
    <t>LAW ENF SOFTWARE SUPPORT AGREEMENT</t>
  </si>
  <si>
    <t>UTILITIES - PROPANE</t>
  </si>
  <si>
    <t>POST EXPENSES (INCOME #33790)</t>
  </si>
  <si>
    <t>PRISONER EXP REDUCTION METHODS</t>
  </si>
  <si>
    <t>REFUND OVERPAYMENTS</t>
  </si>
  <si>
    <t>BLM FUNDING/SHERIFF (INCOME #36220)</t>
  </si>
  <si>
    <t>FOREST SERVICE REIMBURSABLE(Income #36120)</t>
  </si>
  <si>
    <t>SHERIFF-JAIL EXPENSES</t>
  </si>
  <si>
    <t>PRISONER MEDICAL</t>
  </si>
  <si>
    <t>PRISONER HOUSING</t>
  </si>
  <si>
    <t>USE OF FUND BALANCE (RADIO BASE)</t>
  </si>
  <si>
    <t>004-700</t>
  </si>
  <si>
    <t>CAPITAL OUTLAY-MOTOR VEHICLE UPGRADES</t>
  </si>
  <si>
    <t>004-800</t>
  </si>
  <si>
    <t>JAG GRANT (RURAL LAW ENFORCEMENT)</t>
  </si>
  <si>
    <t>JAG GRANT EXPENSES (LIVESCAN)</t>
  </si>
  <si>
    <t>JAG GRANT EXPENSES (RADIO BASE)</t>
  </si>
  <si>
    <t>004-815</t>
  </si>
  <si>
    <t>COURTROOM SECURITY GRANT</t>
  </si>
  <si>
    <t>COURT SECURITY GRANT EXPENSES #(33800)</t>
  </si>
  <si>
    <t>TOTAL GRANT EXPENSES</t>
  </si>
  <si>
    <t>TOTAL OTHER EXPENSES</t>
  </si>
  <si>
    <t>TOTAL SHERIFF EXPENDITURES</t>
  </si>
  <si>
    <t>Balance - Sheriff Property Sale (Restricted)</t>
  </si>
  <si>
    <t>Use of Fund Balance (Operating)</t>
  </si>
  <si>
    <t>Allocated for future Sheriff Salary Increases</t>
  </si>
  <si>
    <t>(Vehicle Replacement Savings)</t>
  </si>
  <si>
    <t>TOTAL COUNTY FUND BALANCE</t>
  </si>
  <si>
    <t>Budget</t>
  </si>
  <si>
    <t>BEG/AUDIT</t>
  </si>
  <si>
    <t>TOTAL BEGINNING COUNTY FUND BALANCE</t>
  </si>
  <si>
    <t>TOTAL REVENUES - ALL FUNDS</t>
  </si>
  <si>
    <t>TOTAL EXPENDITURES - ALL FUNDS</t>
  </si>
  <si>
    <t>BALANCE - REVENUES MINUS EXPENDITURES</t>
  </si>
  <si>
    <t>BALANCE INCLUDING BEGINNING FUND BALANCES</t>
  </si>
  <si>
    <t>USE OF FUND BALANCES FOR OPERATING</t>
  </si>
  <si>
    <t>TOTAL COUNTY FUND BALANCE (Cash)</t>
  </si>
  <si>
    <t>ALLOCATED FOR FUTURE EQUIPMENT REPLACEMENTS/UPGRADES (INCLUDES CAP RESERVE)</t>
  </si>
  <si>
    <t>ALLOCATED FOR FUTURE SALARY INCREASES</t>
  </si>
  <si>
    <t>RESTRICTED FUNDS (GF-Trails, Alpine Ranger, PH, TIII, LAND, HS, RET, LO, AMB, CT, CEMETERY, CONTINGENCY)</t>
  </si>
  <si>
    <t>TOTAL ENDING Unallocated COUNTY  FUND BALANCE</t>
  </si>
  <si>
    <r>
      <t>AMBULANCE SERVICE FEES (</t>
    </r>
    <r>
      <rPr>
        <sz val="8"/>
        <color indexed="10"/>
        <rFont val="Arial"/>
        <family val="2"/>
      </rPr>
      <t>inc A/R Bad Debts 62052</t>
    </r>
    <r>
      <rPr>
        <sz val="8"/>
        <rFont val="Arial"/>
        <family val="2"/>
      </rPr>
      <t>)</t>
    </r>
  </si>
  <si>
    <t>YR END 2016</t>
  </si>
  <si>
    <t>YR END 2017</t>
  </si>
  <si>
    <t>EVALUATE ALL MILL DISTRIBUTION FOR 2014-BY NEED</t>
  </si>
  <si>
    <t>MILS</t>
  </si>
  <si>
    <t>% OF MILS</t>
  </si>
  <si>
    <t>TOTAL MILS</t>
  </si>
  <si>
    <t>GF</t>
  </si>
  <si>
    <t>RB</t>
  </si>
  <si>
    <t>HS</t>
  </si>
  <si>
    <t>RET</t>
  </si>
  <si>
    <t>EMS</t>
  </si>
  <si>
    <t>PUBLIC HEALTH</t>
  </si>
  <si>
    <t>TOTAL</t>
  </si>
  <si>
    <t>MILS/BUDGET SHEET</t>
  </si>
  <si>
    <t>Date</t>
  </si>
  <si>
    <t>REVENUE BASE (ASSESSED VALUE) $</t>
  </si>
  <si>
    <t>PROP TAX REV</t>
  </si>
  <si>
    <t>FORMULA=</t>
  </si>
  <si>
    <t>MILS * REV BASE / 1000</t>
  </si>
  <si>
    <t>PUBLIC H</t>
  </si>
  <si>
    <t>s/b</t>
  </si>
  <si>
    <t>REV/BUDGET SHEET</t>
  </si>
  <si>
    <t>over</t>
  </si>
  <si>
    <t>per DOLA</t>
  </si>
  <si>
    <t>TOTAL $$</t>
  </si>
  <si>
    <t>MAX MILS/2008 ELECTION</t>
  </si>
  <si>
    <t>Abatement included in GF</t>
  </si>
  <si>
    <t>FOR NEXT YEARS CALCULATION ONLY</t>
  </si>
  <si>
    <t>1 MIL=</t>
  </si>
  <si>
    <t>ALLOWED 5.5% INCREASE IN REVENUE</t>
  </si>
  <si>
    <t>LESS OVERAGE FROM 2011</t>
  </si>
  <si>
    <t>included on DLG-53 from DOLA website</t>
  </si>
  <si>
    <t>Allowed</t>
  </si>
  <si>
    <t>TOTAL REVENUE ALLOWED</t>
  </si>
  <si>
    <t>MILS=REVENUE/REVENUE BASE</t>
  </si>
  <si>
    <t>2013 TO BE CALC</t>
  </si>
  <si>
    <t>BUDGET YR 2013</t>
  </si>
  <si>
    <t xml:space="preserve">voter approved does not change unless below </t>
  </si>
  <si>
    <t>then it is a temporary reduction only</t>
  </si>
  <si>
    <t>2011 5.5% rev limit</t>
  </si>
  <si>
    <t xml:space="preserve">LESS </t>
  </si>
  <si>
    <t>2010 amt over limit</t>
  </si>
  <si>
    <t>DLG-53 TAX YR 2012 (BUDGET YR 2013)</t>
  </si>
  <si>
    <t>A1</t>
  </si>
  <si>
    <t>A1 From Prev Yr Certification NOT DOLA DLG-53</t>
  </si>
  <si>
    <t>A2</t>
  </si>
  <si>
    <t>A1/Prev Yr Assessed Value=A2 2011 Tax Rate</t>
  </si>
  <si>
    <t>A3</t>
  </si>
  <si>
    <t>A3 Total Assessed value of 2012 Growth Properties</t>
  </si>
  <si>
    <t>A4</t>
  </si>
  <si>
    <t>A3*A2=A4 Rev growth properties would have generated in 2011</t>
  </si>
  <si>
    <t>A5</t>
  </si>
  <si>
    <t>A1+A4=A5 Expand the Rev Base by Rev from Growth Properties</t>
  </si>
  <si>
    <t>A6</t>
  </si>
  <si>
    <t>A5*1.055=A6 Increased expanded Rev Base by voter app inc (5.5%) IF allowed</t>
  </si>
  <si>
    <t>A7</t>
  </si>
  <si>
    <t>A6-2012 Omitted Prop Rev (1523)=Rev Limit</t>
  </si>
  <si>
    <t>A8</t>
  </si>
  <si>
    <t>A7-2011 Amount levied Over Limit in 2011 (0)</t>
  </si>
  <si>
    <t>A8/Current years total assessed valuation</t>
  </si>
  <si>
    <t>Current years total assessed valuation*1000</t>
  </si>
  <si>
    <t>If mill levy is greater than allowed reduce to voter approved mill levy (from Kerry)</t>
  </si>
  <si>
    <t>2014 TO BE CALC</t>
  </si>
  <si>
    <t>TOTAL $$ from Mills</t>
  </si>
  <si>
    <t>Total incTransfers</t>
  </si>
  <si>
    <t>BUDGET YR 2014</t>
  </si>
  <si>
    <t>DLG-53 TAX YR 2013 (BUDGET YR 2014)</t>
  </si>
  <si>
    <t>2013 5.5% rev limit</t>
  </si>
  <si>
    <t>2012 amt over limit</t>
  </si>
  <si>
    <t>MAXIMUM ALLOWED</t>
  </si>
  <si>
    <t>A1 From Prev Yr Certification NOT DOLA DLG-53   ????</t>
  </si>
  <si>
    <t>Reduced Mills</t>
  </si>
  <si>
    <t>DLG 53-FIGURES PLUGGED IN BY LYNN  09/27/2013</t>
  </si>
  <si>
    <t>A1/Prev Yr Assessed Value=A2 2012 Tax Rate</t>
  </si>
  <si>
    <t>CHANGES MADE TO BUDGET</t>
  </si>
  <si>
    <t>MILLS TO:</t>
  </si>
  <si>
    <t>A3*A2=A4 Rev growth properties would have generated in 2012</t>
  </si>
  <si>
    <t>A7-2011 Amount levied Over Limit in 2012 (0)</t>
  </si>
  <si>
    <t>Mill Levy=</t>
  </si>
  <si>
    <t>Maximum allowed</t>
  </si>
  <si>
    <t>Road and Bridge</t>
  </si>
  <si>
    <t>Mil Levys set by the Board of County Commissioners</t>
  </si>
  <si>
    <t>1/2 OF RB MIL LEVY ON TOWN VALUATION</t>
  </si>
  <si>
    <t>This is the check I have sent marked "Apportionment"</t>
  </si>
  <si>
    <t>It is budgeted on Hinsdale's Road &amp; Bridge Transfer section account 002-570-63422</t>
  </si>
  <si>
    <t>2015 TO BE CALC</t>
  </si>
  <si>
    <t>BUDGET YR 2015</t>
  </si>
  <si>
    <t>MAX AMT</t>
  </si>
  <si>
    <t>2014 5.5% rev limit</t>
  </si>
  <si>
    <t>2013 amt over limit</t>
  </si>
  <si>
    <t>2016 TO BE CALC</t>
  </si>
  <si>
    <t>BUDGET YR 2016</t>
  </si>
  <si>
    <t>TOWN APPORTIONMENT</t>
  </si>
  <si>
    <t>CAPITAL OUTLAY BUDGET REVISED 05/03/13</t>
  </si>
  <si>
    <t>ACTUAL 12/31/2011</t>
  </si>
  <si>
    <t>SPENT YTD</t>
  </si>
  <si>
    <t>SEE CCI LEASE</t>
  </si>
  <si>
    <t>See Lease Below-Final Pmt</t>
  </si>
  <si>
    <t>CORRECTED FOR 2012 AUDITOR</t>
  </si>
  <si>
    <t>MODEL</t>
  </si>
  <si>
    <t>PRINCIPAL</t>
  </si>
  <si>
    <t>INTEREST</t>
  </si>
  <si>
    <t>YEAR PAID</t>
  </si>
  <si>
    <t>TOTAL PAID</t>
  </si>
  <si>
    <t>CAT 140H</t>
  </si>
  <si>
    <t>CAT 320CL W/T</t>
  </si>
  <si>
    <t>2011</t>
  </si>
  <si>
    <t>2012</t>
  </si>
  <si>
    <t>PURCHASE PRICE with int</t>
  </si>
  <si>
    <t>INTEREST PAID</t>
  </si>
  <si>
    <t>HC PAID</t>
  </si>
  <si>
    <t>LEASE PMTS</t>
  </si>
  <si>
    <t>2013 Cap Outlay</t>
  </si>
  <si>
    <t>PAID</t>
  </si>
  <si>
    <t>R&amp;B</t>
  </si>
  <si>
    <t>CCI LEASE @ 2%/5 YEARS</t>
  </si>
  <si>
    <t>SALES TAX</t>
  </si>
  <si>
    <t>DECAL</t>
  </si>
  <si>
    <t>PARTS</t>
  </si>
  <si>
    <t>WILDLAND FIRE EXPENSES</t>
  </si>
  <si>
    <t>OPERATING/TILLSHORTAGE</t>
  </si>
  <si>
    <t>STATE HIST FUND COURTHOUSE</t>
  </si>
  <si>
    <t>UTE DRMS-HISTORICORPS PREP</t>
  </si>
  <si>
    <t>UTE - USDA RBDG - BIZ PLANNING</t>
  </si>
  <si>
    <t>UTE BLM NAT HIST APP</t>
  </si>
  <si>
    <t xml:space="preserve">UTE DRMS HISTORICORPS PREP </t>
  </si>
  <si>
    <t>UTE USDA RBDG BIZ PLANNING EX</t>
  </si>
  <si>
    <t>UTE BLM NAT HIST APP EXP</t>
  </si>
  <si>
    <t>CWCB RWEACT TASK ORDER #8</t>
  </si>
  <si>
    <t>001-914</t>
  </si>
  <si>
    <t xml:space="preserve">REGION 8 SENIOR HOMECARE CHORE SERVICE </t>
  </si>
  <si>
    <t xml:space="preserve">NEW </t>
  </si>
  <si>
    <t>SIM GRANT (OURAY COUNTY)</t>
  </si>
  <si>
    <t>COMMUNITIES THAT CARE</t>
  </si>
  <si>
    <t>COMMUNITIES THAT CARE (CTC)</t>
  </si>
  <si>
    <t>Region 8 Homemaker Services (Mineral)</t>
  </si>
  <si>
    <t>SIM Grant (Ouray contract)</t>
  </si>
  <si>
    <t>CWCB EMER-GRANT RWEACT TASK ORD #8</t>
  </si>
  <si>
    <t>CWCB EMER-GRANT RWEACT TASK ORD #8 ADM</t>
  </si>
  <si>
    <t>001-870</t>
  </si>
  <si>
    <t>STATE HISTORIC FUND COURTHOUSE ROOF</t>
  </si>
  <si>
    <t>ROOF EXPENSES</t>
  </si>
  <si>
    <t>ENERGY IMPACT (EIAF)INTERIOR/UNFORSEEN</t>
  </si>
  <si>
    <t>001-875</t>
  </si>
  <si>
    <t>TITLE III FOR DISBURSEMENT/R&amp;B/SCHOOLS</t>
  </si>
  <si>
    <t>BUDGET YR 2017</t>
  </si>
  <si>
    <t>HIGHWAY USER TAX FUND REVENUES - HUTF</t>
  </si>
  <si>
    <t>HILL 71 GRANT (2016)</t>
  </si>
  <si>
    <t>001-930</t>
  </si>
  <si>
    <t>005</t>
  </si>
  <si>
    <t>Silver Thread Public Health District</t>
  </si>
  <si>
    <t>005-000</t>
  </si>
  <si>
    <t xml:space="preserve">SLVPHP </t>
  </si>
  <si>
    <t>005-660</t>
  </si>
  <si>
    <t>005-661</t>
  </si>
  <si>
    <t>005-663</t>
  </si>
  <si>
    <t>005-665</t>
  </si>
  <si>
    <t>005-670</t>
  </si>
  <si>
    <t>005-671</t>
  </si>
  <si>
    <t>MINERAL COUNTY ADMIN</t>
  </si>
  <si>
    <t>005-680</t>
  </si>
  <si>
    <t>005-681</t>
  </si>
  <si>
    <t>005-682</t>
  </si>
  <si>
    <t>005-821</t>
  </si>
  <si>
    <t>005-822</t>
  </si>
  <si>
    <t>005-823</t>
  </si>
  <si>
    <t>005-824</t>
  </si>
  <si>
    <t>005-825</t>
  </si>
  <si>
    <t>005-827</t>
  </si>
  <si>
    <t>005-828</t>
  </si>
  <si>
    <t>005-829</t>
  </si>
  <si>
    <t>005-830</t>
  </si>
  <si>
    <t>005-831</t>
  </si>
  <si>
    <t>005-832</t>
  </si>
  <si>
    <t>005-834</t>
  </si>
  <si>
    <t>005-835</t>
  </si>
  <si>
    <t>005-840</t>
  </si>
  <si>
    <t>005-841</t>
  </si>
  <si>
    <t>005-842</t>
  </si>
  <si>
    <t>005-843</t>
  </si>
  <si>
    <t>005-845</t>
  </si>
  <si>
    <t>005-848</t>
  </si>
  <si>
    <t>005-851</t>
  </si>
  <si>
    <t>005-860</t>
  </si>
  <si>
    <t>005-864</t>
  </si>
  <si>
    <t>SLVPHP - Misc</t>
  </si>
  <si>
    <t>005-600</t>
  </si>
  <si>
    <t>CAPP</t>
  </si>
  <si>
    <t>TRANSFER FROM GF MISPLACED EXPENSE</t>
  </si>
  <si>
    <t>CONTINGENCY</t>
  </si>
  <si>
    <t>2017 TO BE CALC</t>
  </si>
  <si>
    <t>005-862</t>
  </si>
  <si>
    <t>GENERAL PROPERTY TAX (_.284_ Mills)</t>
  </si>
  <si>
    <t>HILL 71 REIMBURSEMENT</t>
  </si>
  <si>
    <t>HILL 71 REIMBURSMENT (STATE)</t>
  </si>
  <si>
    <t>HILL 71 BATTERIES RWEACT</t>
  </si>
  <si>
    <t>001-810</t>
  </si>
  <si>
    <t>SALARY-DEPUTY ASSESSOR</t>
  </si>
  <si>
    <t>YR END 2018</t>
  </si>
  <si>
    <t>SUMMER YOUTH PROGRAM (BAG)</t>
  </si>
  <si>
    <t>(MRC) NACCHO - $5000</t>
  </si>
  <si>
    <t>SUMMER YOUTH PROGRAM</t>
  </si>
  <si>
    <t>HILLTOP HEALTH BENEFITS GUIDE</t>
  </si>
  <si>
    <t>SALARIES PERMANENT (Admin Office)</t>
  </si>
  <si>
    <t>HOURLY WAGES PERMANENT (Admin office)</t>
  </si>
  <si>
    <t>NURSE</t>
  </si>
  <si>
    <t>DIRECTOR</t>
  </si>
  <si>
    <t>TRAVEL EXPENSES</t>
  </si>
  <si>
    <t>COURTHOUSE FUNDS DONATIONS</t>
  </si>
  <si>
    <t>PHASE I</t>
  </si>
  <si>
    <t>PHASE II</t>
  </si>
  <si>
    <t>PHASE III</t>
  </si>
  <si>
    <t>ADVERTISING/PUBLICATION</t>
  </si>
  <si>
    <t>PRINTING</t>
  </si>
  <si>
    <t>TRAVEL/MILEAGE/MEALS/LODGING</t>
  </si>
  <si>
    <t>EQUIPMENT/PARTS</t>
  </si>
  <si>
    <t>OPERATING EXPENSES/TRAVEL/MILEAGE</t>
  </si>
  <si>
    <t>TRAVEL AND MEETING/MEALS</t>
  </si>
  <si>
    <t>TRAVEL AND MEETNG/MILEAGE</t>
  </si>
  <si>
    <t xml:space="preserve">  GUNNISON WEED CONTROL - $1,750</t>
  </si>
  <si>
    <t xml:space="preserve">  SOUTHEND WEED CONTROL - $1,750</t>
  </si>
  <si>
    <t>MEDICAL SUPPLIES</t>
  </si>
  <si>
    <t>TELEPHONE</t>
  </si>
  <si>
    <t>XEROX</t>
  </si>
  <si>
    <t>TRAVEL/MEETINGS &amp; MEALS</t>
  </si>
  <si>
    <t xml:space="preserve">OFFICE SUPPLIES </t>
  </si>
  <si>
    <t>Sub-total</t>
  </si>
  <si>
    <t>ALPINE RANGER DONATIONS (All Other/Operating)</t>
  </si>
  <si>
    <t>ADULT VACCINES (Medicare and Fees for Service)</t>
  </si>
  <si>
    <t>005-865</t>
  </si>
  <si>
    <t xml:space="preserve">TRANSFERS </t>
  </si>
  <si>
    <t>PUBLIC HEALTH SERVICES OPP/MCH (NURSE)</t>
  </si>
  <si>
    <t xml:space="preserve">   Fire Control EFF (CO DFPC) </t>
  </si>
  <si>
    <t xml:space="preserve">   Gunnison Soil Conservation District</t>
  </si>
  <si>
    <t>002-560/562</t>
  </si>
  <si>
    <t>MAINTENANCE &amp; REPAIR SERVICE/Landfill Work</t>
  </si>
  <si>
    <t>TRAVEL - MILEAGE</t>
  </si>
  <si>
    <t>TRAVEL - MEALS</t>
  </si>
  <si>
    <t>VEHICLE REPLACEMENT/PURCHASE</t>
  </si>
  <si>
    <t>TECHNOLOGY UPGRADE (SOFTWARE)</t>
  </si>
  <si>
    <t xml:space="preserve">SENIOR COORDINATOR DONATION MONEY </t>
  </si>
  <si>
    <t>MINERAL COUNTY - ADMIN</t>
  </si>
  <si>
    <t>VOLUNTARY FEE FOR SERVICE - HOMEMAKERS/MC</t>
  </si>
  <si>
    <t>UNDERFUNDED COURTHOUSE GRANT/Justice Ctr</t>
  </si>
  <si>
    <t>UNDERFUNDED COURTHOUSE GRANT/Courtroom</t>
  </si>
  <si>
    <t>ENERGY IMPACT ASSIST (EIAF) GRANT/Interior/unforseen</t>
  </si>
  <si>
    <t>ENERGY IMPACT ASSIST (EIAF) GRANT/Additional Funds</t>
  </si>
  <si>
    <t>ENERGY IMPACT ASSIST (EIAF) GRANT/Humidistat</t>
  </si>
  <si>
    <t>ENERGY IMPACT ASSIST (EIAF) GRANT/Courthouse Fire Escape/Foundation</t>
  </si>
  <si>
    <t>ENERGY IMPACT ASSIST (EIAF) GRANT/Courthouse Software</t>
  </si>
  <si>
    <t>UNDERFUNDED COURTHOUSE, COURTROOM</t>
  </si>
  <si>
    <t>UNDERFUNDED COURTHOUSE, JUSTICE CENTER</t>
  </si>
  <si>
    <t>COURTHOUSE DONATIONS</t>
  </si>
  <si>
    <t>CWCB EMER-GRANT RWEACT TASK ORD #9</t>
  </si>
  <si>
    <t>CWCB EMER-GRANT RWEACT TASK ORD #9 ADM</t>
  </si>
  <si>
    <t>001-915</t>
  </si>
  <si>
    <t>CWCB RWEACT TASK ORDER #9</t>
  </si>
  <si>
    <t>MEETING EXPENSE - MILEAGE</t>
  </si>
  <si>
    <t xml:space="preserve">BUILDING MAINTENANCE &amp; REPAIR </t>
  </si>
  <si>
    <t>TRAVEL &amp; MEETINGS - MEALS</t>
  </si>
  <si>
    <t>TRAVEL &amp; MEETINGS - LODGING</t>
  </si>
  <si>
    <r>
      <t>CAPITAL EXPENDITURE (NEW COURTHOUSE</t>
    </r>
    <r>
      <rPr>
        <b/>
        <sz val="8"/>
        <rFont val="Arial"/>
        <family val="2"/>
      </rPr>
      <t>/</t>
    </r>
    <r>
      <rPr>
        <sz val="8"/>
        <rFont val="Arial"/>
        <family val="2"/>
      </rPr>
      <t>RESERVE)</t>
    </r>
  </si>
  <si>
    <t>TRAVEL - LODGING</t>
  </si>
  <si>
    <t>SHERIFF FEES/OPERATING SOURCES</t>
  </si>
  <si>
    <t>SHERIFF'S FEES (CIVIL PROCESS)</t>
  </si>
  <si>
    <t>Permits/Fees/Interest/Sale of Equip/Misc.</t>
  </si>
  <si>
    <t>TREASURER'S FEE &amp; COMMISSION (5% of Property Tax for Adm)</t>
  </si>
  <si>
    <t>ASSESSOR'S FEE</t>
  </si>
  <si>
    <t>TRAVEL &amp; MEETING - MILEAGE (Classes/Photos/Measurements)</t>
  </si>
  <si>
    <t>EQUIPMENT (scanner/printer/calculator)</t>
  </si>
  <si>
    <t>UTILITIES - DUMPSTER</t>
  </si>
  <si>
    <t xml:space="preserve">   CCI-Public Lands - $438</t>
  </si>
  <si>
    <t xml:space="preserve">   CCI - $10,000</t>
  </si>
  <si>
    <t xml:space="preserve">   CCI - Administrators - $100</t>
  </si>
  <si>
    <t xml:space="preserve">   NAC - $450</t>
  </si>
  <si>
    <t>MEETING EXPENSE - MEALS</t>
  </si>
  <si>
    <t>MEETING EXPENSE - LODGING</t>
  </si>
  <si>
    <t>JUDICIAL UPS/USEFUL PUBLIC SERVICE</t>
  </si>
  <si>
    <t>PROFFESSIONAL SERVICES</t>
  </si>
  <si>
    <t>OFFICE SUPPLIES AND MATERIALS</t>
  </si>
  <si>
    <t xml:space="preserve">OPERATING </t>
  </si>
  <si>
    <t>MEETING EXPENSES - MILEAGE, LODGING</t>
  </si>
  <si>
    <t>UTE-ULAY DONATIONS</t>
  </si>
  <si>
    <t>UTE-ULAY PROJECT EXPENSES</t>
  </si>
  <si>
    <t>OWTS FEES</t>
  </si>
  <si>
    <t>OWTS EXPENSES</t>
  </si>
  <si>
    <t>ALPINE RANGER DONATIONS</t>
  </si>
  <si>
    <t>ALPINE RANGER DONATIONS (Vehicle)</t>
  </si>
  <si>
    <t>POSTAGE/STATE RENEWAL PROCESSING FEE</t>
  </si>
  <si>
    <t>MAINTENANCE AGREEMENT - County Web Search</t>
  </si>
  <si>
    <t>EMERGENCY MANAGEMENT SERVICES FUND</t>
  </si>
  <si>
    <t>005-863</t>
  </si>
  <si>
    <t>005-861</t>
  </si>
  <si>
    <t>NUDGET</t>
  </si>
  <si>
    <t>ADULT VACCINES</t>
  </si>
  <si>
    <t>VACCINES</t>
  </si>
  <si>
    <t>SIM Grant (Mineral Contract)</t>
  </si>
  <si>
    <t>SIM GRANT (MINERAL COUNTY)</t>
  </si>
  <si>
    <t>DHS GRANTS EXPENSE</t>
  </si>
  <si>
    <r>
      <t>HINSDALE COUNTY 2018 BUDGET --</t>
    </r>
    <r>
      <rPr>
        <b/>
        <sz val="8"/>
        <color indexed="10"/>
        <rFont val="Arial"/>
        <family val="2"/>
      </rPr>
      <t>(BEG BAL)</t>
    </r>
    <r>
      <rPr>
        <b/>
        <sz val="8"/>
        <rFont val="Arial"/>
        <family val="2"/>
      </rPr>
      <t xml:space="preserve"> </t>
    </r>
    <r>
      <rPr>
        <b/>
        <sz val="8"/>
        <color indexed="10"/>
        <rFont val="Arial"/>
        <family val="2"/>
      </rPr>
      <t xml:space="preserve">Per 2016 Audit </t>
    </r>
  </si>
  <si>
    <t>BEGINNING FUND BALANCE ADJUSTED PER 2016 AUDIT</t>
  </si>
  <si>
    <t>BEGINNING OF YEAR FUND BALANCE ADJUSTED PER 2016 AUDIT</t>
  </si>
  <si>
    <t>BEGINNING BALANCE ADJUSTED PER 2016 AUDIT</t>
  </si>
  <si>
    <t>YTD</t>
  </si>
  <si>
    <t>01/312018</t>
  </si>
  <si>
    <t>01/31/2018</t>
  </si>
  <si>
    <t>2019</t>
  </si>
  <si>
    <t xml:space="preserve">LESS CARRYFORWARD </t>
  </si>
  <si>
    <t>MAJOR REPAIRS - VEHICLES/EQUIPMENT</t>
  </si>
  <si>
    <t>UTE - CPDHE CAPPING GRANT</t>
  </si>
  <si>
    <t>UTE CPDHE CAPPING GRANT</t>
  </si>
  <si>
    <t>OPERATING REVENUE/EMS</t>
  </si>
  <si>
    <t>EMERGENCY SERVICES EXPENSES</t>
  </si>
  <si>
    <t xml:space="preserve">UNEMPLOYMENT </t>
  </si>
  <si>
    <t>DRUG SCREENING &amp; CDOT PHYSICALS</t>
  </si>
  <si>
    <t>BEGINNING FUND BALANCE per 2016 Audit</t>
  </si>
  <si>
    <t>BENEFIT IN LIEU OF HEALTH INSURANCE</t>
  </si>
  <si>
    <t>OWTS FEES TO STATE</t>
  </si>
  <si>
    <t xml:space="preserve">SALARIED/HOURLY WAGES </t>
  </si>
  <si>
    <t>BENEFIT IN LIEU OF INSURANCE</t>
  </si>
  <si>
    <t>30 MILE RESORT FEES</t>
  </si>
  <si>
    <t>FOREST SERVICE REVENUE SHARE/SRS</t>
  </si>
  <si>
    <t xml:space="preserve"> Beginning Balances  (Per  2016 Audit) </t>
  </si>
  <si>
    <t>TRANSFER FROM GENERAL FUND BEG BAL 2012</t>
  </si>
  <si>
    <t>NEW TITLE III EXPENSES</t>
  </si>
  <si>
    <r>
      <t>CAPITAL EXPENDITURE (NEW COURTHOUSE</t>
    </r>
    <r>
      <rPr>
        <b/>
        <sz val="8"/>
        <rFont val="Arial"/>
        <family val="2"/>
      </rPr>
      <t>)</t>
    </r>
  </si>
  <si>
    <t>UTE-ULAY QUICK FOUNDATION GRANT</t>
  </si>
  <si>
    <t>PROFESSIONAL SERVICE</t>
  </si>
  <si>
    <t xml:space="preserve">   Lake City/Chamber - $70</t>
  </si>
  <si>
    <t xml:space="preserve">   Region 10 - $2378</t>
  </si>
  <si>
    <t xml:space="preserve">DUES </t>
  </si>
  <si>
    <t>COMPRECARE GRANT</t>
  </si>
  <si>
    <t>IMMUNIZATION GRANT</t>
  </si>
  <si>
    <t xml:space="preserve">BOAT DOCK FEES </t>
  </si>
  <si>
    <t>CWCB EMER-GRANT RWEACT TASK ORD #10</t>
  </si>
  <si>
    <t>CWCB EMER-GRANT RWEACT TASK ORD #10 ADM</t>
  </si>
  <si>
    <t>.</t>
  </si>
  <si>
    <t>WORKMANS COMPENSATION</t>
  </si>
  <si>
    <t>SALES TAX DIST TO MED DISTRICT (LC and HC Share)</t>
  </si>
  <si>
    <t>CWCB RWEACT TASK ORDER #10</t>
  </si>
  <si>
    <t xml:space="preserve">GENERAL PROPERTY TAXES (_15.57_Mils) </t>
  </si>
  <si>
    <t>GENERAL PROPERTY TAXES (_0.96)</t>
  </si>
  <si>
    <t xml:space="preserve">GENERAL PROPERTY TAXES </t>
  </si>
  <si>
    <t>UPPER PIEDRA COMMUNICATION SITE/EIAF</t>
  </si>
  <si>
    <t>(12/31/16 Audited Fund Bal +11/30/17 Rev -11/30 Exp)</t>
  </si>
  <si>
    <t>BEGINNING FUND BALANCE (CASH) 2016 AUDIT</t>
  </si>
  <si>
    <t>UPPER PIEDRA COMMUNICATIONS SITE</t>
  </si>
  <si>
    <t xml:space="preserve">   $500: Hinsdale County Historical Society </t>
  </si>
  <si>
    <t xml:space="preserve">   $750: Recreation Dept Town (R&amp;B Gas Only No rollover)</t>
  </si>
  <si>
    <t xml:space="preserve">   $200: Public Lands Partnership</t>
  </si>
  <si>
    <t xml:space="preserve">   $394: Center for Mental Health</t>
  </si>
  <si>
    <t xml:space="preserve">   $500: Fireworks</t>
  </si>
  <si>
    <t>2018 MKTG/ECO DEV-DIRT: $1250</t>
  </si>
  <si>
    <r>
      <t>I,</t>
    </r>
    <r>
      <rPr>
        <b/>
        <u/>
        <sz val="9"/>
        <rFont val="Arial"/>
        <family val="2"/>
      </rPr>
      <t xml:space="preserve">                                                                                </t>
    </r>
    <r>
      <rPr>
        <b/>
        <sz val="9"/>
        <rFont val="Arial"/>
        <family val="2"/>
      </rPr>
      <t xml:space="preserve">certify that this is a true and accurate copy of the 2018 budget of Hinsdale County Colorado - Stan Whinnery, Hinsdale County BOCC </t>
    </r>
    <r>
      <rPr>
        <b/>
        <i/>
        <sz val="9"/>
        <rFont val="Arial"/>
        <family val="2"/>
      </rPr>
      <t>Chair</t>
    </r>
  </si>
  <si>
    <t>SALARY WAGES</t>
  </si>
  <si>
    <t>(Figures taken from Cemetery Budget Report)</t>
  </si>
  <si>
    <t>LIFE INSURANCE BOND</t>
  </si>
  <si>
    <t>HILL 71 GRANT</t>
  </si>
  <si>
    <t xml:space="preserve">HEALTH BENEFIT IN LIEU OF INSURANCE </t>
  </si>
  <si>
    <r>
      <t xml:space="preserve">DOLA DIRT FUNDS </t>
    </r>
    <r>
      <rPr>
        <i/>
        <sz val="8"/>
        <rFont val="Arial"/>
        <family val="2"/>
      </rPr>
      <t>(MAIN STREET/OTHER)</t>
    </r>
  </si>
  <si>
    <t>OLD NO LONGER USED HILL 71 REIMBURSEMENT</t>
  </si>
  <si>
    <t>CONTRIBUTIONS TO STPHD</t>
  </si>
  <si>
    <t>INTERFUND TRANSFERS</t>
  </si>
  <si>
    <t>CONTRIBUTIONS FROM HINSDALE COUNTY</t>
  </si>
  <si>
    <t>CONTRIBUTIONS FROM HINSDALE COUNTY/2018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</si>
</sst>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,##0;[Red]#,##0"/>
    <numFmt numFmtId="165" formatCode="0.0000"/>
    <numFmt numFmtId="166" formatCode="0.000"/>
    <numFmt numFmtId="167" formatCode="&quot;$&quot;#,##0"/>
    <numFmt numFmtId="168" formatCode="#,##0.000"/>
    <numFmt numFmtId="169" formatCode="#,##0.000000"/>
    <numFmt numFmtId="170" formatCode="#,##0.000_);[Red]\(#,##0.000\)"/>
    <numFmt numFmtId="171" formatCode="#,##0.0"/>
    <numFmt numFmtId="172" formatCode="0.000000"/>
    <numFmt numFmtId="173" formatCode="&quot;$&quot;#,##0.00"/>
  </numFmts>
  <fonts count="7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b/>
      <sz val="7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u val="singleAccounting"/>
      <sz val="9"/>
      <name val="Arial"/>
      <family val="2"/>
    </font>
    <font>
      <b/>
      <i/>
      <sz val="7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b/>
      <sz val="9"/>
      <color indexed="62"/>
      <name val="Arial"/>
      <family val="2"/>
    </font>
    <font>
      <b/>
      <sz val="10"/>
      <color indexed="62"/>
      <name val="Arial"/>
      <family val="2"/>
    </font>
    <font>
      <b/>
      <u/>
      <sz val="9"/>
      <color indexed="62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rgb="FFC00000"/>
      <name val="Arial"/>
      <family val="2"/>
    </font>
    <font>
      <sz val="10"/>
      <color rgb="FFC00000"/>
      <name val="Arial"/>
      <family val="2"/>
    </font>
    <font>
      <b/>
      <sz val="9"/>
      <color rgb="FF000000"/>
      <name val="Arial"/>
      <family val="2"/>
    </font>
    <font>
      <b/>
      <u/>
      <sz val="8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u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9"/>
      <color rgb="FFFF0000"/>
      <name val="Arial"/>
      <family val="2"/>
    </font>
    <font>
      <b/>
      <u/>
      <sz val="10"/>
      <color indexed="12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rgb="FFFFFFFF"/>
      </patternFill>
    </fill>
    <fill>
      <patternFill patternType="solid">
        <fgColor rgb="FFFFCC99"/>
        <bgColor rgb="FF000000"/>
      </patternFill>
    </fill>
    <fill>
      <patternFill patternType="solid">
        <fgColor rgb="FFCCFF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92CDDC"/>
        <bgColor rgb="FFFFFFFF"/>
      </patternFill>
    </fill>
    <fill>
      <patternFill patternType="solid">
        <fgColor rgb="FF92CDDC"/>
        <bgColor rgb="FF000000"/>
      </patternFill>
    </fill>
    <fill>
      <patternFill patternType="solid">
        <fgColor rgb="FFF2DCDB"/>
        <bgColor rgb="FFFFFFFF"/>
      </patternFill>
    </fill>
    <fill>
      <patternFill patternType="solid">
        <fgColor rgb="FFF2DCDB"/>
        <bgColor rgb="FF000000"/>
      </patternFill>
    </fill>
    <fill>
      <patternFill patternType="solid">
        <fgColor rgb="FFCCC0DA"/>
        <bgColor rgb="FFFFFFFF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FFFFFF"/>
      </patternFill>
    </fill>
    <fill>
      <patternFill patternType="solid">
        <fgColor rgb="FFD8E4BC"/>
        <bgColor rgb="FF000000"/>
      </patternFill>
    </fill>
    <fill>
      <patternFill patternType="solid">
        <fgColor rgb="FFE6B8B7"/>
        <bgColor rgb="FFFFFFFF"/>
      </patternFill>
    </fill>
    <fill>
      <patternFill patternType="solid">
        <fgColor rgb="FFE6B8B7"/>
        <bgColor rgb="FF000000"/>
      </patternFill>
    </fill>
    <fill>
      <patternFill patternType="solid">
        <fgColor rgb="FFFFFF0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rgb="FF000000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0" borderId="0"/>
    <xf numFmtId="0" fontId="15" fillId="22" borderId="0" applyNumberFormat="0" applyBorder="0" applyAlignment="0" applyProtection="0"/>
    <xf numFmtId="0" fontId="3" fillId="4" borderId="0" applyNumberFormat="0" applyBorder="0" applyAlignment="0" applyProtection="0"/>
    <xf numFmtId="9" fontId="2" fillId="0" borderId="0" applyFont="0" applyFill="0" applyBorder="0" applyAlignment="0" applyProtection="0"/>
    <xf numFmtId="44" fontId="66" fillId="0" borderId="0" applyFont="0" applyFill="0" applyBorder="0" applyAlignment="0" applyProtection="0"/>
  </cellStyleXfs>
  <cellXfs count="985">
    <xf numFmtId="0" fontId="0" fillId="0" borderId="0" xfId="0"/>
    <xf numFmtId="0" fontId="51" fillId="0" borderId="0" xfId="0" applyFont="1" applyFill="1" applyBorder="1" applyAlignment="1" applyProtection="1">
      <alignment horizontal="left"/>
      <protection locked="0"/>
    </xf>
    <xf numFmtId="0" fontId="52" fillId="0" borderId="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2" fillId="0" borderId="0" xfId="0" applyFont="1" applyFill="1" applyBorder="1"/>
    <xf numFmtId="0" fontId="21" fillId="0" borderId="0" xfId="0" applyFont="1" applyFill="1" applyBorder="1" applyAlignment="1" applyProtection="1">
      <alignment horizontal="center"/>
      <protection locked="0"/>
    </xf>
    <xf numFmtId="0" fontId="53" fillId="28" borderId="11" xfId="0" applyNumberFormat="1" applyFont="1" applyFill="1" applyBorder="1" applyAlignment="1" applyProtection="1">
      <protection locked="0"/>
    </xf>
    <xf numFmtId="0" fontId="21" fillId="28" borderId="12" xfId="0" applyNumberFormat="1" applyFont="1" applyFill="1" applyBorder="1" applyAlignment="1" applyProtection="1">
      <alignment horizontal="right"/>
      <protection locked="0"/>
    </xf>
    <xf numFmtId="0" fontId="21" fillId="28" borderId="12" xfId="0" applyNumberFormat="1" applyFont="1" applyFill="1" applyBorder="1" applyAlignment="1" applyProtection="1">
      <alignment horizontal="left"/>
      <protection locked="0"/>
    </xf>
    <xf numFmtId="165" fontId="20" fillId="28" borderId="13" xfId="0" applyNumberFormat="1" applyFont="1" applyFill="1" applyBorder="1" applyAlignment="1" applyProtection="1">
      <protection locked="0"/>
    </xf>
    <xf numFmtId="0" fontId="21" fillId="28" borderId="14" xfId="0" applyNumberFormat="1" applyFont="1" applyFill="1" applyBorder="1" applyAlignment="1" applyProtection="1">
      <protection locked="0"/>
    </xf>
    <xf numFmtId="165" fontId="20" fillId="28" borderId="0" xfId="0" applyNumberFormat="1" applyFont="1" applyFill="1" applyBorder="1" applyAlignment="1" applyProtection="1">
      <alignment horizontal="right"/>
      <protection locked="0"/>
    </xf>
    <xf numFmtId="2" fontId="20" fillId="28" borderId="0" xfId="0" applyNumberFormat="1" applyFont="1" applyFill="1" applyBorder="1" applyAlignment="1" applyProtection="1">
      <protection locked="0"/>
    </xf>
    <xf numFmtId="0" fontId="20" fillId="28" borderId="0" xfId="0" applyNumberFormat="1" applyFont="1" applyFill="1" applyBorder="1" applyAlignment="1" applyProtection="1">
      <protection locked="0"/>
    </xf>
    <xf numFmtId="14" fontId="21" fillId="28" borderId="15" xfId="0" applyNumberFormat="1" applyFont="1" applyFill="1" applyBorder="1" applyAlignment="1" applyProtection="1">
      <protection locked="0"/>
    </xf>
    <xf numFmtId="0" fontId="20" fillId="28" borderId="15" xfId="0" applyNumberFormat="1" applyFont="1" applyFill="1" applyBorder="1" applyAlignment="1" applyProtection="1">
      <protection locked="0"/>
    </xf>
    <xf numFmtId="165" fontId="20" fillId="0" borderId="0" xfId="0" applyNumberFormat="1" applyFont="1" applyFill="1" applyBorder="1" applyAlignment="1" applyProtection="1">
      <protection locked="0"/>
    </xf>
    <xf numFmtId="14" fontId="21" fillId="0" borderId="0" xfId="0" applyNumberFormat="1" applyFont="1" applyFill="1" applyBorder="1" applyAlignment="1" applyProtection="1">
      <protection locked="0"/>
    </xf>
    <xf numFmtId="0" fontId="20" fillId="0" borderId="0" xfId="0" applyNumberFormat="1" applyFont="1" applyFill="1" applyBorder="1" applyAlignment="1" applyProtection="1">
      <protection locked="0"/>
    </xf>
    <xf numFmtId="165" fontId="20" fillId="28" borderId="0" xfId="0" applyNumberFormat="1" applyFont="1" applyFill="1" applyBorder="1" applyAlignment="1" applyProtection="1">
      <protection locked="0"/>
    </xf>
    <xf numFmtId="6" fontId="20" fillId="28" borderId="15" xfId="0" applyNumberFormat="1" applyFont="1" applyFill="1" applyBorder="1" applyAlignment="1" applyProtection="1">
      <protection locked="0"/>
    </xf>
    <xf numFmtId="0" fontId="53" fillId="28" borderId="14" xfId="0" applyNumberFormat="1" applyFont="1" applyFill="1" applyBorder="1" applyAlignment="1" applyProtection="1">
      <protection locked="0"/>
    </xf>
    <xf numFmtId="6" fontId="20" fillId="0" borderId="0" xfId="0" applyNumberFormat="1" applyFont="1" applyFill="1" applyBorder="1" applyAlignment="1" applyProtection="1">
      <protection locked="0"/>
    </xf>
    <xf numFmtId="0" fontId="21" fillId="28" borderId="15" xfId="0" applyNumberFormat="1" applyFont="1" applyFill="1" applyBorder="1" applyAlignment="1" applyProtection="1">
      <protection locked="0"/>
    </xf>
    <xf numFmtId="4" fontId="20" fillId="28" borderId="0" xfId="0" applyNumberFormat="1" applyFont="1" applyFill="1" applyBorder="1" applyAlignment="1" applyProtection="1">
      <protection locked="0"/>
    </xf>
    <xf numFmtId="3" fontId="20" fillId="28" borderId="14" xfId="0" applyNumberFormat="1" applyFont="1" applyFill="1" applyBorder="1" applyAlignment="1" applyProtection="1">
      <protection locked="0"/>
    </xf>
    <xf numFmtId="0" fontId="21" fillId="0" borderId="0" xfId="0" applyNumberFormat="1" applyFont="1" applyFill="1" applyBorder="1" applyAlignment="1" applyProtection="1">
      <protection locked="0"/>
    </xf>
    <xf numFmtId="166" fontId="20" fillId="28" borderId="0" xfId="0" applyNumberFormat="1" applyFont="1" applyFill="1" applyBorder="1" applyAlignment="1" applyProtection="1">
      <protection locked="0"/>
    </xf>
    <xf numFmtId="5" fontId="20" fillId="28" borderId="0" xfId="0" applyNumberFormat="1" applyFont="1" applyFill="1" applyBorder="1" applyAlignment="1" applyProtection="1">
      <protection locked="0"/>
    </xf>
    <xf numFmtId="0" fontId="2" fillId="29" borderId="0" xfId="0" applyFont="1" applyFill="1" applyBorder="1" applyProtection="1">
      <protection locked="0"/>
    </xf>
    <xf numFmtId="0" fontId="2" fillId="29" borderId="15" xfId="0" applyFont="1" applyFill="1" applyBorder="1" applyProtection="1">
      <protection locked="0"/>
    </xf>
    <xf numFmtId="44" fontId="20" fillId="28" borderId="0" xfId="29" applyFont="1" applyFill="1" applyBorder="1" applyAlignment="1" applyProtection="1">
      <protection locked="0"/>
    </xf>
    <xf numFmtId="0" fontId="20" fillId="28" borderId="16" xfId="0" applyNumberFormat="1" applyFont="1" applyFill="1" applyBorder="1" applyAlignment="1" applyProtection="1">
      <protection locked="0"/>
    </xf>
    <xf numFmtId="0" fontId="2" fillId="29" borderId="17" xfId="0" applyFont="1" applyFill="1" applyBorder="1" applyProtection="1">
      <protection locked="0"/>
    </xf>
    <xf numFmtId="44" fontId="20" fillId="28" borderId="17" xfId="29" applyFont="1" applyFill="1" applyBorder="1" applyAlignment="1" applyProtection="1">
      <protection locked="0"/>
    </xf>
    <xf numFmtId="0" fontId="20" fillId="28" borderId="18" xfId="0" applyNumberFormat="1" applyFont="1" applyFill="1" applyBorder="1" applyAlignment="1" applyProtection="1">
      <protection locked="0"/>
    </xf>
    <xf numFmtId="44" fontId="20" fillId="0" borderId="0" xfId="29" applyFont="1" applyFill="1" applyBorder="1" applyAlignment="1" applyProtection="1">
      <protection locked="0"/>
    </xf>
    <xf numFmtId="6" fontId="2" fillId="0" borderId="0" xfId="0" applyNumberFormat="1" applyFont="1" applyFill="1" applyBorder="1" applyProtection="1">
      <protection locked="0"/>
    </xf>
    <xf numFmtId="0" fontId="53" fillId="30" borderId="11" xfId="0" applyNumberFormat="1" applyFont="1" applyFill="1" applyBorder="1" applyAlignment="1" applyProtection="1">
      <protection locked="0"/>
    </xf>
    <xf numFmtId="0" fontId="21" fillId="30" borderId="12" xfId="0" applyNumberFormat="1" applyFont="1" applyFill="1" applyBorder="1" applyAlignment="1" applyProtection="1">
      <alignment horizontal="right"/>
      <protection locked="0"/>
    </xf>
    <xf numFmtId="0" fontId="21" fillId="30" borderId="12" xfId="0" applyNumberFormat="1" applyFont="1" applyFill="1" applyBorder="1" applyAlignment="1" applyProtection="1">
      <alignment horizontal="center"/>
      <protection locked="0"/>
    </xf>
    <xf numFmtId="0" fontId="21" fillId="31" borderId="12" xfId="0" applyNumberFormat="1" applyFont="1" applyFill="1" applyBorder="1" applyAlignment="1" applyProtection="1">
      <alignment horizontal="right"/>
      <protection locked="0"/>
    </xf>
    <xf numFmtId="166" fontId="21" fillId="30" borderId="12" xfId="0" applyNumberFormat="1" applyFont="1" applyFill="1" applyBorder="1" applyAlignment="1" applyProtection="1">
      <protection locked="0"/>
    </xf>
    <xf numFmtId="165" fontId="21" fillId="30" borderId="11" xfId="0" applyNumberFormat="1" applyFont="1" applyFill="1" applyBorder="1" applyAlignment="1" applyProtection="1">
      <protection locked="0"/>
    </xf>
    <xf numFmtId="0" fontId="21" fillId="32" borderId="19" xfId="0" applyFont="1" applyFill="1" applyBorder="1" applyProtection="1">
      <protection locked="0"/>
    </xf>
    <xf numFmtId="0" fontId="21" fillId="30" borderId="14" xfId="0" applyNumberFormat="1" applyFont="1" applyFill="1" applyBorder="1" applyAlignment="1" applyProtection="1">
      <protection locked="0"/>
    </xf>
    <xf numFmtId="166" fontId="20" fillId="30" borderId="0" xfId="0" applyNumberFormat="1" applyFont="1" applyFill="1" applyBorder="1" applyAlignment="1" applyProtection="1">
      <alignment horizontal="right"/>
      <protection locked="0"/>
    </xf>
    <xf numFmtId="3" fontId="20" fillId="30" borderId="0" xfId="0" applyNumberFormat="1" applyFont="1" applyFill="1" applyBorder="1" applyAlignment="1" applyProtection="1">
      <protection locked="0"/>
    </xf>
    <xf numFmtId="166" fontId="20" fillId="31" borderId="0" xfId="0" applyNumberFormat="1" applyFont="1" applyFill="1" applyBorder="1" applyAlignment="1" applyProtection="1">
      <protection locked="0"/>
    </xf>
    <xf numFmtId="14" fontId="21" fillId="30" borderId="0" xfId="0" applyNumberFormat="1" applyFont="1" applyFill="1" applyBorder="1" applyAlignment="1" applyProtection="1">
      <protection locked="0"/>
    </xf>
    <xf numFmtId="0" fontId="2" fillId="32" borderId="16" xfId="0" applyFont="1" applyFill="1" applyBorder="1" applyProtection="1">
      <protection locked="0"/>
    </xf>
    <xf numFmtId="0" fontId="21" fillId="30" borderId="18" xfId="0" applyNumberFormat="1" applyFont="1" applyFill="1" applyBorder="1" applyAlignment="1" applyProtection="1">
      <protection locked="0"/>
    </xf>
    <xf numFmtId="0" fontId="2" fillId="32" borderId="0" xfId="0" applyFont="1" applyFill="1" applyBorder="1" applyProtection="1">
      <protection locked="0"/>
    </xf>
    <xf numFmtId="0" fontId="20" fillId="30" borderId="0" xfId="0" applyNumberFormat="1" applyFont="1" applyFill="1" applyBorder="1" applyAlignment="1" applyProtection="1">
      <protection locked="0"/>
    </xf>
    <xf numFmtId="0" fontId="20" fillId="32" borderId="15" xfId="0" applyFont="1" applyFill="1" applyBorder="1" applyProtection="1">
      <protection locked="0"/>
    </xf>
    <xf numFmtId="166" fontId="20" fillId="30" borderId="0" xfId="0" applyNumberFormat="1" applyFont="1" applyFill="1" applyBorder="1" applyAlignment="1" applyProtection="1">
      <protection locked="0"/>
    </xf>
    <xf numFmtId="6" fontId="20" fillId="31" borderId="0" xfId="0" applyNumberFormat="1" applyFont="1" applyFill="1" applyBorder="1" applyAlignment="1" applyProtection="1">
      <protection locked="0"/>
    </xf>
    <xf numFmtId="0" fontId="53" fillId="30" borderId="14" xfId="0" applyNumberFormat="1" applyFont="1" applyFill="1" applyBorder="1" applyAlignment="1" applyProtection="1">
      <protection locked="0"/>
    </xf>
    <xf numFmtId="167" fontId="21" fillId="30" borderId="0" xfId="0" applyNumberFormat="1" applyFont="1" applyFill="1" applyBorder="1" applyAlignment="1" applyProtection="1">
      <protection locked="0"/>
    </xf>
    <xf numFmtId="0" fontId="20" fillId="31" borderId="0" xfId="0" applyNumberFormat="1" applyFont="1" applyFill="1" applyBorder="1" applyAlignment="1" applyProtection="1">
      <protection locked="0"/>
    </xf>
    <xf numFmtId="0" fontId="20" fillId="33" borderId="15" xfId="0" applyFont="1" applyFill="1" applyBorder="1" applyProtection="1">
      <protection locked="0"/>
    </xf>
    <xf numFmtId="165" fontId="20" fillId="30" borderId="0" xfId="0" applyNumberFormat="1" applyFont="1" applyFill="1" applyBorder="1" applyAlignment="1" applyProtection="1">
      <alignment horizontal="right"/>
      <protection locked="0"/>
    </xf>
    <xf numFmtId="165" fontId="20" fillId="30" borderId="0" xfId="0" applyNumberFormat="1" applyFont="1" applyFill="1" applyBorder="1" applyAlignment="1" applyProtection="1">
      <protection locked="0"/>
    </xf>
    <xf numFmtId="0" fontId="21" fillId="30" borderId="0" xfId="0" applyNumberFormat="1" applyFont="1" applyFill="1" applyBorder="1" applyAlignment="1" applyProtection="1">
      <protection locked="0"/>
    </xf>
    <xf numFmtId="4" fontId="20" fillId="30" borderId="0" xfId="0" applyNumberFormat="1" applyFont="1" applyFill="1" applyBorder="1" applyAlignment="1" applyProtection="1">
      <protection locked="0"/>
    </xf>
    <xf numFmtId="3" fontId="21" fillId="30" borderId="0" xfId="0" applyNumberFormat="1" applyFont="1" applyFill="1" applyBorder="1" applyAlignment="1" applyProtection="1">
      <protection locked="0"/>
    </xf>
    <xf numFmtId="3" fontId="21" fillId="34" borderId="14" xfId="0" applyNumberFormat="1" applyFont="1" applyFill="1" applyBorder="1" applyAlignment="1" applyProtection="1">
      <protection locked="0"/>
    </xf>
    <xf numFmtId="0" fontId="20" fillId="34" borderId="0" xfId="0" applyNumberFormat="1" applyFont="1" applyFill="1" applyBorder="1" applyAlignment="1" applyProtection="1">
      <protection locked="0"/>
    </xf>
    <xf numFmtId="3" fontId="20" fillId="34" borderId="14" xfId="0" applyNumberFormat="1" applyFont="1" applyFill="1" applyBorder="1" applyAlignment="1" applyProtection="1">
      <protection locked="0"/>
    </xf>
    <xf numFmtId="166" fontId="20" fillId="34" borderId="0" xfId="0" applyNumberFormat="1" applyFont="1" applyFill="1" applyBorder="1" applyAlignment="1" applyProtection="1">
      <protection locked="0"/>
    </xf>
    <xf numFmtId="3" fontId="20" fillId="35" borderId="14" xfId="0" applyNumberFormat="1" applyFont="1" applyFill="1" applyBorder="1" applyAlignment="1" applyProtection="1">
      <protection locked="0"/>
    </xf>
    <xf numFmtId="0" fontId="20" fillId="35" borderId="0" xfId="0" applyNumberFormat="1" applyFont="1" applyFill="1" applyBorder="1" applyAlignment="1" applyProtection="1">
      <protection locked="0"/>
    </xf>
    <xf numFmtId="166" fontId="20" fillId="35" borderId="0" xfId="0" applyNumberFormat="1" applyFont="1" applyFill="1" applyBorder="1" applyAlignment="1" applyProtection="1">
      <protection locked="0"/>
    </xf>
    <xf numFmtId="0" fontId="20" fillId="0" borderId="15" xfId="0" applyFont="1" applyFill="1" applyBorder="1" applyProtection="1">
      <protection locked="0"/>
    </xf>
    <xf numFmtId="5" fontId="20" fillId="34" borderId="0" xfId="0" applyNumberFormat="1" applyFont="1" applyFill="1" applyBorder="1" applyAlignment="1" applyProtection="1">
      <protection locked="0"/>
    </xf>
    <xf numFmtId="3" fontId="20" fillId="34" borderId="0" xfId="0" applyNumberFormat="1" applyFont="1" applyFill="1" applyBorder="1" applyAlignment="1" applyProtection="1">
      <protection locked="0"/>
    </xf>
    <xf numFmtId="3" fontId="20" fillId="30" borderId="14" xfId="0" applyNumberFormat="1" applyFont="1" applyFill="1" applyBorder="1" applyAlignment="1" applyProtection="1">
      <protection locked="0"/>
    </xf>
    <xf numFmtId="2" fontId="20" fillId="30" borderId="0" xfId="0" applyNumberFormat="1" applyFont="1" applyFill="1" applyBorder="1" applyAlignment="1" applyProtection="1">
      <protection locked="0"/>
    </xf>
    <xf numFmtId="3" fontId="2" fillId="32" borderId="0" xfId="0" applyNumberFormat="1" applyFont="1" applyFill="1" applyBorder="1" applyProtection="1">
      <protection locked="0"/>
    </xf>
    <xf numFmtId="10" fontId="20" fillId="32" borderId="14" xfId="0" applyNumberFormat="1" applyFont="1" applyFill="1" applyBorder="1" applyProtection="1">
      <protection locked="0"/>
    </xf>
    <xf numFmtId="10" fontId="21" fillId="32" borderId="14" xfId="0" applyNumberFormat="1" applyFont="1" applyFill="1" applyBorder="1" applyProtection="1">
      <protection locked="0"/>
    </xf>
    <xf numFmtId="0" fontId="23" fillId="32" borderId="0" xfId="0" applyFont="1" applyFill="1" applyBorder="1" applyProtection="1">
      <protection locked="0"/>
    </xf>
    <xf numFmtId="168" fontId="23" fillId="32" borderId="15" xfId="0" applyNumberFormat="1" applyFont="1" applyFill="1" applyBorder="1" applyProtection="1">
      <protection locked="0"/>
    </xf>
    <xf numFmtId="44" fontId="22" fillId="32" borderId="0" xfId="29" applyFont="1" applyFill="1" applyBorder="1" applyProtection="1">
      <protection locked="0"/>
    </xf>
    <xf numFmtId="168" fontId="54" fillId="32" borderId="15" xfId="0" applyNumberFormat="1" applyFont="1" applyFill="1" applyBorder="1" applyProtection="1">
      <protection locked="0"/>
    </xf>
    <xf numFmtId="0" fontId="22" fillId="32" borderId="0" xfId="0" applyFont="1" applyFill="1" applyBorder="1" applyProtection="1">
      <protection locked="0"/>
    </xf>
    <xf numFmtId="168" fontId="22" fillId="32" borderId="15" xfId="0" applyNumberFormat="1" applyFont="1" applyFill="1" applyBorder="1" applyProtection="1">
      <protection locked="0"/>
    </xf>
    <xf numFmtId="168" fontId="23" fillId="32" borderId="0" xfId="0" applyNumberFormat="1" applyFont="1" applyFill="1" applyBorder="1" applyProtection="1">
      <protection locked="0"/>
    </xf>
    <xf numFmtId="0" fontId="21" fillId="32" borderId="16" xfId="0" applyFont="1" applyFill="1" applyBorder="1" applyProtection="1">
      <protection locked="0"/>
    </xf>
    <xf numFmtId="10" fontId="23" fillId="32" borderId="17" xfId="0" applyNumberFormat="1" applyFont="1" applyFill="1" applyBorder="1" applyProtection="1">
      <protection locked="0"/>
    </xf>
    <xf numFmtId="0" fontId="23" fillId="32" borderId="17" xfId="0" applyFont="1" applyFill="1" applyBorder="1" applyProtection="1">
      <protection locked="0"/>
    </xf>
    <xf numFmtId="42" fontId="23" fillId="32" borderId="17" xfId="29" applyNumberFormat="1" applyFont="1" applyFill="1" applyBorder="1" applyProtection="1">
      <protection locked="0"/>
    </xf>
    <xf numFmtId="168" fontId="23" fillId="32" borderId="17" xfId="0" applyNumberFormat="1" applyFont="1" applyFill="1" applyBorder="1" applyProtection="1">
      <protection locked="0"/>
    </xf>
    <xf numFmtId="168" fontId="23" fillId="32" borderId="18" xfId="0" applyNumberFormat="1" applyFont="1" applyFill="1" applyBorder="1" applyProtection="1">
      <protection locked="0"/>
    </xf>
    <xf numFmtId="0" fontId="53" fillId="36" borderId="11" xfId="0" applyNumberFormat="1" applyFont="1" applyFill="1" applyBorder="1" applyAlignment="1" applyProtection="1">
      <protection locked="0"/>
    </xf>
    <xf numFmtId="0" fontId="21" fillId="36" borderId="12" xfId="0" applyNumberFormat="1" applyFont="1" applyFill="1" applyBorder="1" applyAlignment="1" applyProtection="1">
      <alignment horizontal="right"/>
      <protection locked="0"/>
    </xf>
    <xf numFmtId="0" fontId="21" fillId="36" borderId="12" xfId="0" applyNumberFormat="1" applyFont="1" applyFill="1" applyBorder="1" applyAlignment="1" applyProtection="1">
      <alignment horizontal="center"/>
      <protection locked="0"/>
    </xf>
    <xf numFmtId="166" fontId="21" fillId="36" borderId="12" xfId="0" applyNumberFormat="1" applyFont="1" applyFill="1" applyBorder="1" applyAlignment="1" applyProtection="1">
      <protection locked="0"/>
    </xf>
    <xf numFmtId="165" fontId="21" fillId="36" borderId="11" xfId="0" applyNumberFormat="1" applyFont="1" applyFill="1" applyBorder="1" applyAlignment="1" applyProtection="1">
      <protection locked="0"/>
    </xf>
    <xf numFmtId="0" fontId="21" fillId="37" borderId="19" xfId="0" applyFont="1" applyFill="1" applyBorder="1" applyProtection="1">
      <protection locked="0"/>
    </xf>
    <xf numFmtId="0" fontId="21" fillId="36" borderId="14" xfId="0" applyNumberFormat="1" applyFont="1" applyFill="1" applyBorder="1" applyAlignment="1" applyProtection="1">
      <protection locked="0"/>
    </xf>
    <xf numFmtId="166" fontId="20" fillId="36" borderId="0" xfId="0" applyNumberFormat="1" applyFont="1" applyFill="1" applyBorder="1" applyAlignment="1" applyProtection="1">
      <alignment horizontal="right"/>
      <protection locked="0"/>
    </xf>
    <xf numFmtId="3" fontId="20" fillId="36" borderId="0" xfId="0" applyNumberFormat="1" applyFont="1" applyFill="1" applyBorder="1" applyAlignment="1" applyProtection="1">
      <protection locked="0"/>
    </xf>
    <xf numFmtId="166" fontId="20" fillId="36" borderId="0" xfId="0" applyNumberFormat="1" applyFont="1" applyFill="1" applyBorder="1" applyAlignment="1" applyProtection="1">
      <protection locked="0"/>
    </xf>
    <xf numFmtId="14" fontId="21" fillId="36" borderId="0" xfId="0" applyNumberFormat="1" applyFont="1" applyFill="1" applyBorder="1" applyAlignment="1" applyProtection="1">
      <protection locked="0"/>
    </xf>
    <xf numFmtId="0" fontId="2" fillId="37" borderId="16" xfId="0" applyFont="1" applyFill="1" applyBorder="1" applyProtection="1">
      <protection locked="0"/>
    </xf>
    <xf numFmtId="0" fontId="21" fillId="36" borderId="18" xfId="0" applyNumberFormat="1" applyFont="1" applyFill="1" applyBorder="1" applyAlignment="1" applyProtection="1">
      <protection locked="0"/>
    </xf>
    <xf numFmtId="0" fontId="29" fillId="37" borderId="0" xfId="0" applyFont="1" applyFill="1" applyBorder="1" applyProtection="1">
      <protection locked="0"/>
    </xf>
    <xf numFmtId="168" fontId="23" fillId="37" borderId="15" xfId="0" applyNumberFormat="1" applyFont="1" applyFill="1" applyBorder="1" applyProtection="1">
      <protection locked="0"/>
    </xf>
    <xf numFmtId="0" fontId="20" fillId="37" borderId="15" xfId="0" applyFont="1" applyFill="1" applyBorder="1" applyProtection="1">
      <protection locked="0"/>
    </xf>
    <xf numFmtId="0" fontId="55" fillId="36" borderId="0" xfId="0" applyNumberFormat="1" applyFont="1" applyFill="1" applyBorder="1" applyAlignment="1" applyProtection="1">
      <protection locked="0"/>
    </xf>
    <xf numFmtId="0" fontId="20" fillId="36" borderId="0" xfId="0" applyNumberFormat="1" applyFont="1" applyFill="1" applyBorder="1" applyAlignment="1" applyProtection="1">
      <protection locked="0"/>
    </xf>
    <xf numFmtId="6" fontId="20" fillId="36" borderId="0" xfId="0" applyNumberFormat="1" applyFont="1" applyFill="1" applyBorder="1" applyAlignment="1" applyProtection="1">
      <protection locked="0"/>
    </xf>
    <xf numFmtId="166" fontId="25" fillId="36" borderId="0" xfId="0" applyNumberFormat="1" applyFont="1" applyFill="1" applyBorder="1" applyAlignment="1" applyProtection="1">
      <protection locked="0"/>
    </xf>
    <xf numFmtId="3" fontId="25" fillId="36" borderId="0" xfId="0" applyNumberFormat="1" applyFont="1" applyFill="1" applyBorder="1" applyAlignment="1" applyProtection="1">
      <protection locked="0"/>
    </xf>
    <xf numFmtId="0" fontId="53" fillId="36" borderId="14" xfId="0" applyNumberFormat="1" applyFont="1" applyFill="1" applyBorder="1" applyAlignment="1" applyProtection="1">
      <protection locked="0"/>
    </xf>
    <xf numFmtId="167" fontId="21" fillId="36" borderId="0" xfId="0" applyNumberFormat="1" applyFont="1" applyFill="1" applyBorder="1" applyAlignment="1" applyProtection="1">
      <protection locked="0"/>
    </xf>
    <xf numFmtId="167" fontId="20" fillId="36" borderId="0" xfId="0" applyNumberFormat="1" applyFont="1" applyFill="1" applyBorder="1" applyAlignment="1" applyProtection="1">
      <protection locked="0"/>
    </xf>
    <xf numFmtId="44" fontId="20" fillId="36" borderId="0" xfId="0" applyNumberFormat="1" applyFont="1" applyFill="1" applyBorder="1" applyAlignment="1" applyProtection="1">
      <protection locked="0"/>
    </xf>
    <xf numFmtId="165" fontId="20" fillId="36" borderId="0" xfId="0" applyNumberFormat="1" applyFont="1" applyFill="1" applyBorder="1" applyAlignment="1" applyProtection="1">
      <alignment horizontal="right"/>
      <protection locked="0"/>
    </xf>
    <xf numFmtId="165" fontId="20" fillId="36" borderId="0" xfId="0" applyNumberFormat="1" applyFont="1" applyFill="1" applyBorder="1" applyAlignment="1" applyProtection="1">
      <protection locked="0"/>
    </xf>
    <xf numFmtId="0" fontId="21" fillId="36" borderId="0" xfId="0" applyNumberFormat="1" applyFont="1" applyFill="1" applyBorder="1" applyAlignment="1" applyProtection="1">
      <protection locked="0"/>
    </xf>
    <xf numFmtId="4" fontId="20" fillId="37" borderId="15" xfId="0" applyNumberFormat="1" applyFont="1" applyFill="1" applyBorder="1" applyProtection="1">
      <protection locked="0"/>
    </xf>
    <xf numFmtId="4" fontId="20" fillId="36" borderId="0" xfId="0" applyNumberFormat="1" applyFont="1" applyFill="1" applyBorder="1" applyAlignment="1" applyProtection="1">
      <protection locked="0"/>
    </xf>
    <xf numFmtId="3" fontId="21" fillId="36" borderId="0" xfId="0" applyNumberFormat="1" applyFont="1" applyFill="1" applyBorder="1" applyAlignment="1" applyProtection="1">
      <protection locked="0"/>
    </xf>
    <xf numFmtId="3" fontId="21" fillId="36" borderId="14" xfId="0" applyNumberFormat="1" applyFont="1" applyFill="1" applyBorder="1" applyAlignment="1" applyProtection="1">
      <protection locked="0"/>
    </xf>
    <xf numFmtId="168" fontId="20" fillId="37" borderId="15" xfId="0" applyNumberFormat="1" applyFont="1" applyFill="1" applyBorder="1" applyProtection="1">
      <protection locked="0"/>
    </xf>
    <xf numFmtId="3" fontId="20" fillId="36" borderId="14" xfId="0" applyNumberFormat="1" applyFont="1" applyFill="1" applyBorder="1" applyAlignment="1" applyProtection="1">
      <protection locked="0"/>
    </xf>
    <xf numFmtId="3" fontId="20" fillId="37" borderId="14" xfId="0" applyNumberFormat="1" applyFont="1" applyFill="1" applyBorder="1" applyAlignment="1" applyProtection="1">
      <protection locked="0"/>
    </xf>
    <xf numFmtId="0" fontId="20" fillId="37" borderId="0" xfId="0" applyNumberFormat="1" applyFont="1" applyFill="1" applyBorder="1" applyAlignment="1" applyProtection="1">
      <protection locked="0"/>
    </xf>
    <xf numFmtId="166" fontId="20" fillId="37" borderId="0" xfId="0" applyNumberFormat="1" applyFont="1" applyFill="1" applyBorder="1" applyAlignment="1" applyProtection="1">
      <protection locked="0"/>
    </xf>
    <xf numFmtId="5" fontId="20" fillId="36" borderId="0" xfId="0" applyNumberFormat="1" applyFont="1" applyFill="1" applyBorder="1" applyAlignment="1" applyProtection="1">
      <protection locked="0"/>
    </xf>
    <xf numFmtId="4" fontId="25" fillId="37" borderId="15" xfId="0" applyNumberFormat="1" applyFont="1" applyFill="1" applyBorder="1" applyProtection="1">
      <protection locked="0"/>
    </xf>
    <xf numFmtId="0" fontId="21" fillId="36" borderId="0" xfId="0" applyNumberFormat="1" applyFont="1" applyFill="1" applyBorder="1" applyAlignment="1" applyProtection="1">
      <alignment horizontal="right"/>
      <protection locked="0"/>
    </xf>
    <xf numFmtId="167" fontId="21" fillId="36" borderId="0" xfId="0" applyNumberFormat="1" applyFont="1" applyFill="1" applyBorder="1" applyAlignment="1" applyProtection="1">
      <alignment horizontal="left"/>
      <protection locked="0"/>
    </xf>
    <xf numFmtId="0" fontId="2" fillId="37" borderId="0" xfId="0" applyFont="1" applyFill="1" applyBorder="1" applyProtection="1">
      <protection locked="0"/>
    </xf>
    <xf numFmtId="2" fontId="20" fillId="36" borderId="0" xfId="0" applyNumberFormat="1" applyFont="1" applyFill="1" applyBorder="1" applyAlignment="1" applyProtection="1">
      <protection locked="0"/>
    </xf>
    <xf numFmtId="0" fontId="20" fillId="37" borderId="0" xfId="0" applyFont="1" applyFill="1" applyBorder="1" applyProtection="1">
      <protection locked="0"/>
    </xf>
    <xf numFmtId="10" fontId="21" fillId="37" borderId="14" xfId="0" applyNumberFormat="1" applyFont="1" applyFill="1" applyBorder="1" applyProtection="1">
      <protection locked="0"/>
    </xf>
    <xf numFmtId="0" fontId="23" fillId="37" borderId="0" xfId="0" applyFont="1" applyFill="1" applyBorder="1" applyProtection="1">
      <protection locked="0"/>
    </xf>
    <xf numFmtId="0" fontId="22" fillId="37" borderId="0" xfId="0" applyFont="1" applyFill="1" applyBorder="1" applyProtection="1">
      <protection locked="0"/>
    </xf>
    <xf numFmtId="44" fontId="22" fillId="37" borderId="0" xfId="29" applyFont="1" applyFill="1" applyBorder="1" applyProtection="1">
      <protection locked="0"/>
    </xf>
    <xf numFmtId="168" fontId="54" fillId="37" borderId="15" xfId="0" applyNumberFormat="1" applyFont="1" applyFill="1" applyBorder="1" applyProtection="1">
      <protection locked="0"/>
    </xf>
    <xf numFmtId="10" fontId="24" fillId="37" borderId="14" xfId="0" applyNumberFormat="1" applyFont="1" applyFill="1" applyBorder="1" applyProtection="1">
      <protection locked="0"/>
    </xf>
    <xf numFmtId="0" fontId="23" fillId="37" borderId="20" xfId="0" applyFont="1" applyFill="1" applyBorder="1" applyProtection="1">
      <protection locked="0"/>
    </xf>
    <xf numFmtId="44" fontId="22" fillId="37" borderId="21" xfId="29" applyFont="1" applyFill="1" applyBorder="1" applyProtection="1">
      <protection locked="0"/>
    </xf>
    <xf numFmtId="0" fontId="23" fillId="37" borderId="22" xfId="0" applyFont="1" applyFill="1" applyBorder="1" applyProtection="1">
      <protection locked="0"/>
    </xf>
    <xf numFmtId="0" fontId="2" fillId="37" borderId="14" xfId="0" applyFont="1" applyFill="1" applyBorder="1" applyProtection="1">
      <protection locked="0"/>
    </xf>
    <xf numFmtId="3" fontId="21" fillId="37" borderId="0" xfId="0" applyNumberFormat="1" applyFont="1" applyFill="1" applyBorder="1" applyProtection="1">
      <protection locked="0"/>
    </xf>
    <xf numFmtId="172" fontId="21" fillId="37" borderId="0" xfId="0" applyNumberFormat="1" applyFont="1" applyFill="1" applyBorder="1" applyProtection="1">
      <protection locked="0"/>
    </xf>
    <xf numFmtId="169" fontId="21" fillId="37" borderId="0" xfId="0" applyNumberFormat="1" applyFont="1" applyFill="1" applyBorder="1" applyProtection="1">
      <protection locked="0"/>
    </xf>
    <xf numFmtId="168" fontId="21" fillId="37" borderId="0" xfId="0" applyNumberFormat="1" applyFont="1" applyFill="1" applyBorder="1" applyProtection="1">
      <protection locked="0"/>
    </xf>
    <xf numFmtId="4" fontId="21" fillId="37" borderId="16" xfId="0" applyNumberFormat="1" applyFont="1" applyFill="1" applyBorder="1" applyProtection="1">
      <protection locked="0"/>
    </xf>
    <xf numFmtId="0" fontId="23" fillId="37" borderId="17" xfId="0" applyFont="1" applyFill="1" applyBorder="1" applyProtection="1">
      <protection locked="0"/>
    </xf>
    <xf numFmtId="44" fontId="22" fillId="37" borderId="17" xfId="29" applyFont="1" applyFill="1" applyBorder="1" applyProtection="1">
      <protection locked="0"/>
    </xf>
    <xf numFmtId="0" fontId="2" fillId="37" borderId="17" xfId="0" applyFont="1" applyFill="1" applyBorder="1" applyProtection="1">
      <protection locked="0"/>
    </xf>
    <xf numFmtId="168" fontId="23" fillId="37" borderId="18" xfId="0" applyNumberFormat="1" applyFont="1" applyFill="1" applyBorder="1" applyProtection="1">
      <protection locked="0"/>
    </xf>
    <xf numFmtId="0" fontId="21" fillId="37" borderId="23" xfId="0" applyFont="1" applyFill="1" applyBorder="1" applyProtection="1">
      <protection locked="0"/>
    </xf>
    <xf numFmtId="10" fontId="23" fillId="37" borderId="17" xfId="0" applyNumberFormat="1" applyFont="1" applyFill="1" applyBorder="1" applyProtection="1">
      <protection locked="0"/>
    </xf>
    <xf numFmtId="5" fontId="23" fillId="37" borderId="17" xfId="29" applyNumberFormat="1" applyFont="1" applyFill="1" applyBorder="1" applyProtection="1">
      <protection locked="0"/>
    </xf>
    <xf numFmtId="42" fontId="23" fillId="37" borderId="17" xfId="29" applyNumberFormat="1" applyFont="1" applyFill="1" applyBorder="1" applyProtection="1">
      <protection locked="0"/>
    </xf>
    <xf numFmtId="168" fontId="23" fillId="37" borderId="17" xfId="0" applyNumberFormat="1" applyFont="1" applyFill="1" applyBorder="1" applyProtection="1">
      <protection locked="0"/>
    </xf>
    <xf numFmtId="0" fontId="53" fillId="38" borderId="11" xfId="0" applyNumberFormat="1" applyFont="1" applyFill="1" applyBorder="1" applyAlignment="1" applyProtection="1">
      <protection locked="0"/>
    </xf>
    <xf numFmtId="0" fontId="21" fillId="38" borderId="12" xfId="0" applyNumberFormat="1" applyFont="1" applyFill="1" applyBorder="1" applyAlignment="1" applyProtection="1">
      <alignment horizontal="right"/>
      <protection locked="0"/>
    </xf>
    <xf numFmtId="0" fontId="21" fillId="38" borderId="12" xfId="0" applyNumberFormat="1" applyFont="1" applyFill="1" applyBorder="1" applyAlignment="1" applyProtection="1">
      <alignment horizontal="center"/>
      <protection locked="0"/>
    </xf>
    <xf numFmtId="0" fontId="23" fillId="38" borderId="12" xfId="0" applyNumberFormat="1" applyFont="1" applyFill="1" applyBorder="1" applyAlignment="1" applyProtection="1">
      <alignment horizontal="right"/>
      <protection locked="0"/>
    </xf>
    <xf numFmtId="166" fontId="21" fillId="38" borderId="12" xfId="0" applyNumberFormat="1" applyFont="1" applyFill="1" applyBorder="1" applyAlignment="1" applyProtection="1">
      <protection locked="0"/>
    </xf>
    <xf numFmtId="165" fontId="21" fillId="38" borderId="11" xfId="0" applyNumberFormat="1" applyFont="1" applyFill="1" applyBorder="1" applyAlignment="1" applyProtection="1">
      <protection locked="0"/>
    </xf>
    <xf numFmtId="0" fontId="21" fillId="39" borderId="19" xfId="0" applyFont="1" applyFill="1" applyBorder="1" applyProtection="1">
      <protection locked="0"/>
    </xf>
    <xf numFmtId="0" fontId="21" fillId="38" borderId="14" xfId="0" applyNumberFormat="1" applyFont="1" applyFill="1" applyBorder="1" applyAlignment="1" applyProtection="1">
      <protection locked="0"/>
    </xf>
    <xf numFmtId="166" fontId="20" fillId="38" borderId="0" xfId="0" applyNumberFormat="1" applyFont="1" applyFill="1" applyBorder="1" applyAlignment="1" applyProtection="1">
      <alignment horizontal="right"/>
      <protection locked="0"/>
    </xf>
    <xf numFmtId="3" fontId="20" fillId="38" borderId="0" xfId="0" applyNumberFormat="1" applyFont="1" applyFill="1" applyBorder="1" applyAlignment="1" applyProtection="1">
      <protection locked="0"/>
    </xf>
    <xf numFmtId="167" fontId="20" fillId="38" borderId="0" xfId="0" applyNumberFormat="1" applyFont="1" applyFill="1" applyBorder="1" applyAlignment="1" applyProtection="1">
      <protection locked="0"/>
    </xf>
    <xf numFmtId="14" fontId="21" fillId="38" borderId="0" xfId="0" applyNumberFormat="1" applyFont="1" applyFill="1" applyBorder="1" applyAlignment="1" applyProtection="1">
      <protection locked="0"/>
    </xf>
    <xf numFmtId="0" fontId="2" fillId="39" borderId="16" xfId="0" applyFont="1" applyFill="1" applyBorder="1" applyProtection="1">
      <protection locked="0"/>
    </xf>
    <xf numFmtId="0" fontId="21" fillId="38" borderId="18" xfId="0" applyNumberFormat="1" applyFont="1" applyFill="1" applyBorder="1" applyAlignment="1" applyProtection="1">
      <protection locked="0"/>
    </xf>
    <xf numFmtId="0" fontId="29" fillId="39" borderId="0" xfId="0" applyFont="1" applyFill="1" applyBorder="1" applyAlignment="1" applyProtection="1">
      <alignment horizontal="centerContinuous"/>
      <protection locked="0"/>
    </xf>
    <xf numFmtId="0" fontId="2" fillId="39" borderId="0" xfId="0" applyFont="1" applyFill="1" applyBorder="1" applyAlignment="1">
      <alignment horizontal="centerContinuous"/>
    </xf>
    <xf numFmtId="0" fontId="20" fillId="39" borderId="15" xfId="0" applyFont="1" applyFill="1" applyBorder="1" applyAlignment="1" applyProtection="1">
      <alignment horizontal="centerContinuous"/>
      <protection locked="0"/>
    </xf>
    <xf numFmtId="167" fontId="20" fillId="38" borderId="10" xfId="0" applyNumberFormat="1" applyFont="1" applyFill="1" applyBorder="1" applyAlignment="1" applyProtection="1">
      <protection locked="0"/>
    </xf>
    <xf numFmtId="0" fontId="55" fillId="38" borderId="0" xfId="0" applyNumberFormat="1" applyFont="1" applyFill="1" applyBorder="1" applyAlignment="1" applyProtection="1">
      <alignment horizontal="centerContinuous"/>
      <protection locked="0"/>
    </xf>
    <xf numFmtId="0" fontId="20" fillId="38" borderId="0" xfId="0" applyNumberFormat="1" applyFont="1" applyFill="1" applyBorder="1" applyAlignment="1" applyProtection="1">
      <protection locked="0"/>
    </xf>
    <xf numFmtId="0" fontId="20" fillId="39" borderId="15" xfId="0" applyFont="1" applyFill="1" applyBorder="1" applyProtection="1">
      <protection locked="0"/>
    </xf>
    <xf numFmtId="0" fontId="20" fillId="38" borderId="14" xfId="0" applyNumberFormat="1" applyFont="1" applyFill="1" applyBorder="1" applyAlignment="1" applyProtection="1">
      <protection locked="0"/>
    </xf>
    <xf numFmtId="166" fontId="20" fillId="38" borderId="0" xfId="0" applyNumberFormat="1" applyFont="1" applyFill="1" applyBorder="1" applyAlignment="1" applyProtection="1">
      <protection locked="0"/>
    </xf>
    <xf numFmtId="6" fontId="20" fillId="38" borderId="0" xfId="0" applyNumberFormat="1" applyFont="1" applyFill="1" applyBorder="1" applyAlignment="1" applyProtection="1">
      <protection locked="0"/>
    </xf>
    <xf numFmtId="166" fontId="25" fillId="38" borderId="0" xfId="0" applyNumberFormat="1" applyFont="1" applyFill="1" applyBorder="1" applyAlignment="1" applyProtection="1">
      <protection locked="0"/>
    </xf>
    <xf numFmtId="3" fontId="25" fillId="38" borderId="0" xfId="0" applyNumberFormat="1" applyFont="1" applyFill="1" applyBorder="1" applyAlignment="1" applyProtection="1">
      <protection locked="0"/>
    </xf>
    <xf numFmtId="167" fontId="25" fillId="38" borderId="10" xfId="0" applyNumberFormat="1" applyFont="1" applyFill="1" applyBorder="1" applyAlignment="1" applyProtection="1">
      <protection locked="0"/>
    </xf>
    <xf numFmtId="0" fontId="53" fillId="38" borderId="14" xfId="0" applyNumberFormat="1" applyFont="1" applyFill="1" applyBorder="1" applyAlignment="1" applyProtection="1">
      <protection locked="0"/>
    </xf>
    <xf numFmtId="167" fontId="21" fillId="38" borderId="0" xfId="0" applyNumberFormat="1" applyFont="1" applyFill="1" applyBorder="1" applyAlignment="1" applyProtection="1">
      <protection locked="0"/>
    </xf>
    <xf numFmtId="44" fontId="20" fillId="38" borderId="0" xfId="0" applyNumberFormat="1" applyFont="1" applyFill="1" applyBorder="1" applyAlignment="1" applyProtection="1">
      <protection locked="0"/>
    </xf>
    <xf numFmtId="165" fontId="20" fillId="38" borderId="0" xfId="0" applyNumberFormat="1" applyFont="1" applyFill="1" applyBorder="1" applyAlignment="1" applyProtection="1">
      <alignment horizontal="right"/>
      <protection locked="0"/>
    </xf>
    <xf numFmtId="165" fontId="20" fillId="38" borderId="0" xfId="0" applyNumberFormat="1" applyFont="1" applyFill="1" applyBorder="1" applyAlignment="1" applyProtection="1">
      <protection locked="0"/>
    </xf>
    <xf numFmtId="0" fontId="21" fillId="38" borderId="0" xfId="0" applyNumberFormat="1" applyFont="1" applyFill="1" applyBorder="1" applyAlignment="1" applyProtection="1">
      <protection locked="0"/>
    </xf>
    <xf numFmtId="4" fontId="20" fillId="39" borderId="15" xfId="0" applyNumberFormat="1" applyFont="1" applyFill="1" applyBorder="1" applyProtection="1">
      <protection locked="0"/>
    </xf>
    <xf numFmtId="4" fontId="20" fillId="38" borderId="0" xfId="0" applyNumberFormat="1" applyFont="1" applyFill="1" applyBorder="1" applyAlignment="1" applyProtection="1">
      <protection locked="0"/>
    </xf>
    <xf numFmtId="3" fontId="21" fillId="38" borderId="0" xfId="0" applyNumberFormat="1" applyFont="1" applyFill="1" applyBorder="1" applyAlignment="1" applyProtection="1">
      <protection locked="0"/>
    </xf>
    <xf numFmtId="3" fontId="21" fillId="38" borderId="14" xfId="0" applyNumberFormat="1" applyFont="1" applyFill="1" applyBorder="1" applyAlignment="1" applyProtection="1">
      <protection locked="0"/>
    </xf>
    <xf numFmtId="168" fontId="20" fillId="39" borderId="15" xfId="0" applyNumberFormat="1" applyFont="1" applyFill="1" applyBorder="1" applyProtection="1">
      <protection locked="0"/>
    </xf>
    <xf numFmtId="3" fontId="20" fillId="38" borderId="14" xfId="0" applyNumberFormat="1" applyFont="1" applyFill="1" applyBorder="1" applyAlignment="1" applyProtection="1">
      <protection locked="0"/>
    </xf>
    <xf numFmtId="3" fontId="20" fillId="39" borderId="14" xfId="0" applyNumberFormat="1" applyFont="1" applyFill="1" applyBorder="1" applyAlignment="1" applyProtection="1">
      <protection locked="0"/>
    </xf>
    <xf numFmtId="0" fontId="20" fillId="39" borderId="0" xfId="0" applyNumberFormat="1" applyFont="1" applyFill="1" applyBorder="1" applyAlignment="1" applyProtection="1">
      <protection locked="0"/>
    </xf>
    <xf numFmtId="0" fontId="2" fillId="39" borderId="0" xfId="0" applyFont="1" applyFill="1" applyBorder="1" applyProtection="1">
      <protection locked="0"/>
    </xf>
    <xf numFmtId="5" fontId="20" fillId="38" borderId="0" xfId="0" applyNumberFormat="1" applyFont="1" applyFill="1" applyBorder="1" applyAlignment="1" applyProtection="1">
      <protection locked="0"/>
    </xf>
    <xf numFmtId="4" fontId="25" fillId="39" borderId="15" xfId="0" applyNumberFormat="1" applyFont="1" applyFill="1" applyBorder="1" applyProtection="1">
      <protection locked="0"/>
    </xf>
    <xf numFmtId="0" fontId="21" fillId="38" borderId="0" xfId="0" applyNumberFormat="1" applyFont="1" applyFill="1" applyBorder="1" applyAlignment="1" applyProtection="1">
      <alignment horizontal="right"/>
      <protection locked="0"/>
    </xf>
    <xf numFmtId="167" fontId="21" fillId="38" borderId="0" xfId="0" applyNumberFormat="1" applyFont="1" applyFill="1" applyBorder="1" applyAlignment="1" applyProtection="1">
      <alignment horizontal="left"/>
      <protection locked="0"/>
    </xf>
    <xf numFmtId="2" fontId="20" fillId="38" borderId="0" xfId="0" applyNumberFormat="1" applyFont="1" applyFill="1" applyBorder="1" applyAlignment="1" applyProtection="1">
      <protection locked="0"/>
    </xf>
    <xf numFmtId="0" fontId="23" fillId="39" borderId="20" xfId="0" applyFont="1" applyFill="1" applyBorder="1" applyProtection="1">
      <protection locked="0"/>
    </xf>
    <xf numFmtId="44" fontId="22" fillId="39" borderId="21" xfId="29" applyFont="1" applyFill="1" applyBorder="1" applyProtection="1">
      <protection locked="0"/>
    </xf>
    <xf numFmtId="0" fontId="23" fillId="39" borderId="22" xfId="0" applyFont="1" applyFill="1" applyBorder="1" applyProtection="1">
      <protection locked="0"/>
    </xf>
    <xf numFmtId="0" fontId="20" fillId="39" borderId="0" xfId="0" applyFont="1" applyFill="1" applyBorder="1" applyProtection="1">
      <protection locked="0"/>
    </xf>
    <xf numFmtId="10" fontId="21" fillId="39" borderId="14" xfId="0" applyNumberFormat="1" applyFont="1" applyFill="1" applyBorder="1" applyProtection="1">
      <protection locked="0"/>
    </xf>
    <xf numFmtId="0" fontId="23" fillId="39" borderId="0" xfId="0" applyFont="1" applyFill="1" applyBorder="1" applyProtection="1">
      <protection locked="0"/>
    </xf>
    <xf numFmtId="0" fontId="22" fillId="39" borderId="0" xfId="0" applyFont="1" applyFill="1" applyBorder="1" applyProtection="1">
      <protection locked="0"/>
    </xf>
    <xf numFmtId="3" fontId="23" fillId="39" borderId="15" xfId="0" applyNumberFormat="1" applyFont="1" applyFill="1" applyBorder="1" applyProtection="1">
      <protection locked="0"/>
    </xf>
    <xf numFmtId="44" fontId="22" fillId="39" borderId="0" xfId="29" applyFont="1" applyFill="1" applyBorder="1" applyProtection="1">
      <protection locked="0"/>
    </xf>
    <xf numFmtId="3" fontId="54" fillId="39" borderId="15" xfId="0" applyNumberFormat="1" applyFont="1" applyFill="1" applyBorder="1" applyProtection="1">
      <protection locked="0"/>
    </xf>
    <xf numFmtId="0" fontId="2" fillId="39" borderId="14" xfId="0" applyFont="1" applyFill="1" applyBorder="1" applyProtection="1">
      <protection locked="0"/>
    </xf>
    <xf numFmtId="10" fontId="24" fillId="39" borderId="14" xfId="0" applyNumberFormat="1" applyFont="1" applyFill="1" applyBorder="1" applyProtection="1">
      <protection locked="0"/>
    </xf>
    <xf numFmtId="0" fontId="22" fillId="39" borderId="0" xfId="0" applyFont="1" applyFill="1" applyBorder="1"/>
    <xf numFmtId="0" fontId="2" fillId="39" borderId="0" xfId="0" applyFont="1" applyFill="1" applyBorder="1"/>
    <xf numFmtId="3" fontId="23" fillId="39" borderId="0" xfId="0" applyNumberFormat="1" applyFont="1" applyFill="1" applyBorder="1" applyProtection="1">
      <protection locked="0"/>
    </xf>
    <xf numFmtId="3" fontId="21" fillId="39" borderId="0" xfId="0" applyNumberFormat="1" applyFont="1" applyFill="1" applyBorder="1" applyProtection="1">
      <protection locked="0"/>
    </xf>
    <xf numFmtId="168" fontId="23" fillId="39" borderId="0" xfId="0" applyNumberFormat="1" applyFont="1" applyFill="1" applyBorder="1" applyProtection="1">
      <protection locked="0"/>
    </xf>
    <xf numFmtId="0" fontId="56" fillId="0" borderId="0" xfId="0" applyFont="1" applyFill="1" applyBorder="1" applyProtection="1">
      <protection locked="0"/>
    </xf>
    <xf numFmtId="169" fontId="21" fillId="39" borderId="0" xfId="0" applyNumberFormat="1" applyFont="1" applyFill="1" applyBorder="1" applyProtection="1">
      <protection locked="0"/>
    </xf>
    <xf numFmtId="168" fontId="23" fillId="39" borderId="15" xfId="0" applyNumberFormat="1" applyFont="1" applyFill="1" applyBorder="1" applyProtection="1">
      <protection locked="0"/>
    </xf>
    <xf numFmtId="3" fontId="20" fillId="0" borderId="0" xfId="0" applyNumberFormat="1" applyFont="1" applyFill="1" applyBorder="1" applyProtection="1">
      <protection locked="0"/>
    </xf>
    <xf numFmtId="166" fontId="2" fillId="0" borderId="0" xfId="0" applyNumberFormat="1" applyFont="1" applyFill="1" applyBorder="1"/>
    <xf numFmtId="3" fontId="25" fillId="0" borderId="0" xfId="0" applyNumberFormat="1" applyFont="1" applyFill="1" applyBorder="1" applyProtection="1">
      <protection locked="0"/>
    </xf>
    <xf numFmtId="166" fontId="31" fillId="0" borderId="0" xfId="0" applyNumberFormat="1" applyFont="1" applyFill="1" applyBorder="1"/>
    <xf numFmtId="168" fontId="21" fillId="39" borderId="0" xfId="0" applyNumberFormat="1" applyFont="1" applyFill="1" applyBorder="1" applyProtection="1">
      <protection locked="0"/>
    </xf>
    <xf numFmtId="0" fontId="21" fillId="39" borderId="0" xfId="0" applyFont="1" applyFill="1" applyBorder="1" applyProtection="1">
      <protection locked="0"/>
    </xf>
    <xf numFmtId="4" fontId="21" fillId="39" borderId="16" xfId="0" applyNumberFormat="1" applyFont="1" applyFill="1" applyBorder="1" applyProtection="1">
      <protection locked="0"/>
    </xf>
    <xf numFmtId="0" fontId="23" fillId="39" borderId="17" xfId="0" applyFont="1" applyFill="1" applyBorder="1" applyProtection="1">
      <protection locked="0"/>
    </xf>
    <xf numFmtId="44" fontId="22" fillId="39" borderId="17" xfId="29" applyFont="1" applyFill="1" applyBorder="1" applyProtection="1">
      <protection locked="0"/>
    </xf>
    <xf numFmtId="0" fontId="2" fillId="39" borderId="17" xfId="0" applyFont="1" applyFill="1" applyBorder="1" applyProtection="1">
      <protection locked="0"/>
    </xf>
    <xf numFmtId="168" fontId="23" fillId="39" borderId="18" xfId="0" applyNumberFormat="1" applyFont="1" applyFill="1" applyBorder="1" applyProtection="1">
      <protection locked="0"/>
    </xf>
    <xf numFmtId="0" fontId="21" fillId="39" borderId="16" xfId="0" applyFont="1" applyFill="1" applyBorder="1" applyProtection="1">
      <protection locked="0"/>
    </xf>
    <xf numFmtId="10" fontId="23" fillId="39" borderId="17" xfId="0" applyNumberFormat="1" applyFont="1" applyFill="1" applyBorder="1" applyProtection="1">
      <protection locked="0"/>
    </xf>
    <xf numFmtId="5" fontId="23" fillId="39" borderId="17" xfId="29" applyNumberFormat="1" applyFont="1" applyFill="1" applyBorder="1" applyProtection="1">
      <protection locked="0"/>
    </xf>
    <xf numFmtId="42" fontId="23" fillId="39" borderId="17" xfId="29" applyNumberFormat="1" applyFont="1" applyFill="1" applyBorder="1" applyProtection="1">
      <protection locked="0"/>
    </xf>
    <xf numFmtId="168" fontId="23" fillId="39" borderId="17" xfId="0" applyNumberFormat="1" applyFont="1" applyFill="1" applyBorder="1" applyProtection="1">
      <protection locked="0"/>
    </xf>
    <xf numFmtId="0" fontId="21" fillId="0" borderId="14" xfId="0" applyFont="1" applyFill="1" applyBorder="1" applyProtection="1">
      <protection locked="0"/>
    </xf>
    <xf numFmtId="10" fontId="23" fillId="0" borderId="0" xfId="0" applyNumberFormat="1" applyFont="1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5" fontId="23" fillId="0" borderId="0" xfId="29" applyNumberFormat="1" applyFont="1" applyFill="1" applyBorder="1" applyProtection="1">
      <protection locked="0"/>
    </xf>
    <xf numFmtId="42" fontId="23" fillId="0" borderId="0" xfId="29" applyNumberFormat="1" applyFont="1" applyFill="1" applyBorder="1" applyProtection="1">
      <protection locked="0"/>
    </xf>
    <xf numFmtId="168" fontId="23" fillId="0" borderId="0" xfId="0" applyNumberFormat="1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53" fillId="40" borderId="11" xfId="0" applyNumberFormat="1" applyFont="1" applyFill="1" applyBorder="1" applyAlignment="1" applyProtection="1">
      <protection locked="0"/>
    </xf>
    <xf numFmtId="0" fontId="21" fillId="40" borderId="12" xfId="0" applyNumberFormat="1" applyFont="1" applyFill="1" applyBorder="1" applyAlignment="1" applyProtection="1">
      <alignment horizontal="right"/>
      <protection locked="0"/>
    </xf>
    <xf numFmtId="0" fontId="21" fillId="40" borderId="12" xfId="0" applyNumberFormat="1" applyFont="1" applyFill="1" applyBorder="1" applyAlignment="1" applyProtection="1">
      <alignment horizontal="center"/>
      <protection locked="0"/>
    </xf>
    <xf numFmtId="0" fontId="23" fillId="40" borderId="12" xfId="0" applyNumberFormat="1" applyFont="1" applyFill="1" applyBorder="1" applyAlignment="1" applyProtection="1">
      <alignment horizontal="right"/>
      <protection locked="0"/>
    </xf>
    <xf numFmtId="166" fontId="21" fillId="40" borderId="12" xfId="0" applyNumberFormat="1" applyFont="1" applyFill="1" applyBorder="1" applyAlignment="1" applyProtection="1">
      <protection locked="0"/>
    </xf>
    <xf numFmtId="165" fontId="21" fillId="40" borderId="11" xfId="0" applyNumberFormat="1" applyFont="1" applyFill="1" applyBorder="1" applyAlignment="1" applyProtection="1">
      <protection locked="0"/>
    </xf>
    <xf numFmtId="0" fontId="21" fillId="41" borderId="19" xfId="0" applyFont="1" applyFill="1" applyBorder="1" applyProtection="1">
      <protection locked="0"/>
    </xf>
    <xf numFmtId="0" fontId="21" fillId="40" borderId="14" xfId="0" applyNumberFormat="1" applyFont="1" applyFill="1" applyBorder="1" applyAlignment="1" applyProtection="1">
      <protection locked="0"/>
    </xf>
    <xf numFmtId="166" fontId="20" fillId="40" borderId="0" xfId="0" applyNumberFormat="1" applyFont="1" applyFill="1" applyBorder="1" applyAlignment="1" applyProtection="1">
      <alignment horizontal="right"/>
      <protection locked="0"/>
    </xf>
    <xf numFmtId="3" fontId="20" fillId="40" borderId="0" xfId="0" applyNumberFormat="1" applyFont="1" applyFill="1" applyBorder="1" applyAlignment="1" applyProtection="1">
      <protection locked="0"/>
    </xf>
    <xf numFmtId="167" fontId="20" fillId="40" borderId="10" xfId="0" applyNumberFormat="1" applyFont="1" applyFill="1" applyBorder="1" applyAlignment="1" applyProtection="1">
      <protection locked="0"/>
    </xf>
    <xf numFmtId="14" fontId="21" fillId="40" borderId="0" xfId="0" applyNumberFormat="1" applyFont="1" applyFill="1" applyBorder="1" applyAlignment="1" applyProtection="1">
      <protection locked="0"/>
    </xf>
    <xf numFmtId="0" fontId="24" fillId="41" borderId="16" xfId="0" applyFont="1" applyFill="1" applyBorder="1" applyProtection="1">
      <protection locked="0"/>
    </xf>
    <xf numFmtId="0" fontId="21" fillId="40" borderId="18" xfId="0" applyNumberFormat="1" applyFont="1" applyFill="1" applyBorder="1" applyAlignment="1" applyProtection="1">
      <protection locked="0"/>
    </xf>
    <xf numFmtId="0" fontId="29" fillId="41" borderId="0" xfId="0" applyFont="1" applyFill="1" applyBorder="1" applyAlignment="1" applyProtection="1">
      <alignment horizontal="centerContinuous"/>
      <protection locked="0"/>
    </xf>
    <xf numFmtId="0" fontId="2" fillId="41" borderId="0" xfId="0" applyFont="1" applyFill="1" applyBorder="1" applyAlignment="1">
      <alignment horizontal="centerContinuous"/>
    </xf>
    <xf numFmtId="0" fontId="20" fillId="41" borderId="15" xfId="0" applyFont="1" applyFill="1" applyBorder="1" applyAlignment="1" applyProtection="1">
      <alignment horizontal="centerContinuous"/>
      <protection locked="0"/>
    </xf>
    <xf numFmtId="167" fontId="20" fillId="40" borderId="0" xfId="0" applyNumberFormat="1" applyFont="1" applyFill="1" applyBorder="1" applyAlignment="1" applyProtection="1">
      <protection locked="0"/>
    </xf>
    <xf numFmtId="0" fontId="55" fillId="40" borderId="0" xfId="0" applyNumberFormat="1" applyFont="1" applyFill="1" applyBorder="1" applyAlignment="1" applyProtection="1">
      <alignment horizontal="centerContinuous"/>
      <protection locked="0"/>
    </xf>
    <xf numFmtId="0" fontId="20" fillId="40" borderId="0" xfId="0" applyNumberFormat="1" applyFont="1" applyFill="1" applyBorder="1" applyAlignment="1" applyProtection="1">
      <protection locked="0"/>
    </xf>
    <xf numFmtId="0" fontId="20" fillId="41" borderId="15" xfId="0" applyFont="1" applyFill="1" applyBorder="1" applyProtection="1">
      <protection locked="0"/>
    </xf>
    <xf numFmtId="0" fontId="20" fillId="40" borderId="14" xfId="0" applyNumberFormat="1" applyFont="1" applyFill="1" applyBorder="1" applyAlignment="1" applyProtection="1">
      <protection locked="0"/>
    </xf>
    <xf numFmtId="166" fontId="20" fillId="40" borderId="0" xfId="0" applyNumberFormat="1" applyFont="1" applyFill="1" applyBorder="1" applyAlignment="1" applyProtection="1">
      <protection locked="0"/>
    </xf>
    <xf numFmtId="6" fontId="20" fillId="40" borderId="0" xfId="0" applyNumberFormat="1" applyFont="1" applyFill="1" applyBorder="1" applyAlignment="1" applyProtection="1">
      <protection locked="0"/>
    </xf>
    <xf numFmtId="166" fontId="25" fillId="40" borderId="0" xfId="0" applyNumberFormat="1" applyFont="1" applyFill="1" applyBorder="1" applyAlignment="1" applyProtection="1">
      <protection locked="0"/>
    </xf>
    <xf numFmtId="3" fontId="25" fillId="40" borderId="0" xfId="0" applyNumberFormat="1" applyFont="1" applyFill="1" applyBorder="1" applyAlignment="1" applyProtection="1">
      <protection locked="0"/>
    </xf>
    <xf numFmtId="167" fontId="25" fillId="40" borderId="0" xfId="0" applyNumberFormat="1" applyFont="1" applyFill="1" applyBorder="1" applyAlignment="1" applyProtection="1">
      <protection locked="0"/>
    </xf>
    <xf numFmtId="0" fontId="53" fillId="40" borderId="14" xfId="0" applyNumberFormat="1" applyFont="1" applyFill="1" applyBorder="1" applyAlignment="1" applyProtection="1">
      <protection locked="0"/>
    </xf>
    <xf numFmtId="167" fontId="21" fillId="40" borderId="0" xfId="0" applyNumberFormat="1" applyFont="1" applyFill="1" applyBorder="1" applyAlignment="1" applyProtection="1">
      <protection locked="0"/>
    </xf>
    <xf numFmtId="44" fontId="20" fillId="40" borderId="0" xfId="0" applyNumberFormat="1" applyFont="1" applyFill="1" applyBorder="1" applyAlignment="1" applyProtection="1">
      <protection locked="0"/>
    </xf>
    <xf numFmtId="165" fontId="20" fillId="40" borderId="0" xfId="0" applyNumberFormat="1" applyFont="1" applyFill="1" applyBorder="1" applyAlignment="1" applyProtection="1">
      <alignment horizontal="right"/>
      <protection locked="0"/>
    </xf>
    <xf numFmtId="165" fontId="20" fillId="40" borderId="0" xfId="0" applyNumberFormat="1" applyFont="1" applyFill="1" applyBorder="1" applyAlignment="1" applyProtection="1">
      <protection locked="0"/>
    </xf>
    <xf numFmtId="0" fontId="21" fillId="40" borderId="0" xfId="0" applyNumberFormat="1" applyFont="1" applyFill="1" applyBorder="1" applyAlignment="1" applyProtection="1">
      <protection locked="0"/>
    </xf>
    <xf numFmtId="4" fontId="20" fillId="41" borderId="15" xfId="0" applyNumberFormat="1" applyFont="1" applyFill="1" applyBorder="1" applyProtection="1">
      <protection locked="0"/>
    </xf>
    <xf numFmtId="4" fontId="20" fillId="40" borderId="0" xfId="0" applyNumberFormat="1" applyFont="1" applyFill="1" applyBorder="1" applyAlignment="1" applyProtection="1">
      <protection locked="0"/>
    </xf>
    <xf numFmtId="3" fontId="21" fillId="40" borderId="0" xfId="0" applyNumberFormat="1" applyFont="1" applyFill="1" applyBorder="1" applyAlignment="1" applyProtection="1">
      <protection locked="0"/>
    </xf>
    <xf numFmtId="3" fontId="21" fillId="40" borderId="14" xfId="0" applyNumberFormat="1" applyFont="1" applyFill="1" applyBorder="1" applyAlignment="1" applyProtection="1">
      <protection locked="0"/>
    </xf>
    <xf numFmtId="4" fontId="21" fillId="40" borderId="0" xfId="0" applyNumberFormat="1" applyFont="1" applyFill="1" applyBorder="1" applyAlignment="1" applyProtection="1">
      <protection locked="0"/>
    </xf>
    <xf numFmtId="173" fontId="21" fillId="40" borderId="0" xfId="0" applyNumberFormat="1" applyFont="1" applyFill="1" applyBorder="1" applyAlignment="1" applyProtection="1">
      <protection locked="0"/>
    </xf>
    <xf numFmtId="168" fontId="20" fillId="41" borderId="15" xfId="0" applyNumberFormat="1" applyFont="1" applyFill="1" applyBorder="1" applyProtection="1">
      <protection locked="0"/>
    </xf>
    <xf numFmtId="3" fontId="20" fillId="40" borderId="14" xfId="0" applyNumberFormat="1" applyFont="1" applyFill="1" applyBorder="1" applyAlignment="1" applyProtection="1">
      <protection locked="0"/>
    </xf>
    <xf numFmtId="3" fontId="20" fillId="41" borderId="14" xfId="0" applyNumberFormat="1" applyFont="1" applyFill="1" applyBorder="1" applyAlignment="1" applyProtection="1">
      <protection locked="0"/>
    </xf>
    <xf numFmtId="0" fontId="20" fillId="41" borderId="0" xfId="0" applyNumberFormat="1" applyFont="1" applyFill="1" applyBorder="1" applyAlignment="1" applyProtection="1">
      <protection locked="0"/>
    </xf>
    <xf numFmtId="0" fontId="2" fillId="41" borderId="0" xfId="0" applyFont="1" applyFill="1" applyBorder="1" applyProtection="1">
      <protection locked="0"/>
    </xf>
    <xf numFmtId="5" fontId="20" fillId="40" borderId="0" xfId="0" applyNumberFormat="1" applyFont="1" applyFill="1" applyBorder="1" applyAlignment="1" applyProtection="1">
      <protection locked="0"/>
    </xf>
    <xf numFmtId="4" fontId="25" fillId="41" borderId="15" xfId="0" applyNumberFormat="1" applyFont="1" applyFill="1" applyBorder="1" applyProtection="1">
      <protection locked="0"/>
    </xf>
    <xf numFmtId="0" fontId="21" fillId="40" borderId="0" xfId="0" applyNumberFormat="1" applyFont="1" applyFill="1" applyBorder="1" applyAlignment="1" applyProtection="1">
      <alignment horizontal="right"/>
      <protection locked="0"/>
    </xf>
    <xf numFmtId="167" fontId="21" fillId="40" borderId="0" xfId="0" applyNumberFormat="1" applyFont="1" applyFill="1" applyBorder="1" applyAlignment="1" applyProtection="1">
      <alignment horizontal="left"/>
      <protection locked="0"/>
    </xf>
    <xf numFmtId="2" fontId="20" fillId="40" borderId="0" xfId="0" applyNumberFormat="1" applyFont="1" applyFill="1" applyBorder="1" applyAlignment="1" applyProtection="1">
      <protection locked="0"/>
    </xf>
    <xf numFmtId="0" fontId="23" fillId="41" borderId="20" xfId="0" applyFont="1" applyFill="1" applyBorder="1" applyProtection="1">
      <protection locked="0"/>
    </xf>
    <xf numFmtId="44" fontId="22" fillId="41" borderId="21" xfId="29" applyFont="1" applyFill="1" applyBorder="1" applyProtection="1">
      <protection locked="0"/>
    </xf>
    <xf numFmtId="0" fontId="23" fillId="41" borderId="22" xfId="0" applyFont="1" applyFill="1" applyBorder="1" applyProtection="1">
      <protection locked="0"/>
    </xf>
    <xf numFmtId="0" fontId="20" fillId="41" borderId="0" xfId="0" applyFont="1" applyFill="1" applyBorder="1" applyProtection="1">
      <protection locked="0"/>
    </xf>
    <xf numFmtId="10" fontId="21" fillId="41" borderId="14" xfId="0" applyNumberFormat="1" applyFont="1" applyFill="1" applyBorder="1" applyProtection="1">
      <protection locked="0"/>
    </xf>
    <xf numFmtId="0" fontId="23" fillId="41" borderId="0" xfId="0" applyFont="1" applyFill="1" applyBorder="1" applyProtection="1">
      <protection locked="0"/>
    </xf>
    <xf numFmtId="44" fontId="23" fillId="41" borderId="0" xfId="29" applyFont="1" applyFill="1" applyBorder="1" applyProtection="1">
      <protection locked="0"/>
    </xf>
    <xf numFmtId="0" fontId="22" fillId="41" borderId="0" xfId="0" applyFont="1" applyFill="1" applyBorder="1" applyProtection="1">
      <protection locked="0"/>
    </xf>
    <xf numFmtId="3" fontId="23" fillId="41" borderId="15" xfId="0" applyNumberFormat="1" applyFont="1" applyFill="1" applyBorder="1" applyProtection="1">
      <protection locked="0"/>
    </xf>
    <xf numFmtId="44" fontId="22" fillId="41" borderId="0" xfId="29" applyFont="1" applyFill="1" applyBorder="1" applyProtection="1">
      <protection locked="0"/>
    </xf>
    <xf numFmtId="3" fontId="54" fillId="41" borderId="15" xfId="0" applyNumberFormat="1" applyFont="1" applyFill="1" applyBorder="1" applyProtection="1">
      <protection locked="0"/>
    </xf>
    <xf numFmtId="14" fontId="57" fillId="41" borderId="14" xfId="0" applyNumberFormat="1" applyFont="1" applyFill="1" applyBorder="1" applyProtection="1">
      <protection locked="0"/>
    </xf>
    <xf numFmtId="10" fontId="24" fillId="41" borderId="14" xfId="0" applyNumberFormat="1" applyFont="1" applyFill="1" applyBorder="1" applyProtection="1">
      <protection locked="0"/>
    </xf>
    <xf numFmtId="0" fontId="22" fillId="41" borderId="0" xfId="0" applyFont="1" applyFill="1" applyBorder="1"/>
    <xf numFmtId="0" fontId="2" fillId="41" borderId="0" xfId="0" applyFont="1" applyFill="1" applyBorder="1"/>
    <xf numFmtId="3" fontId="23" fillId="41" borderId="0" xfId="0" applyNumberFormat="1" applyFont="1" applyFill="1" applyBorder="1" applyProtection="1">
      <protection locked="0"/>
    </xf>
    <xf numFmtId="0" fontId="2" fillId="41" borderId="14" xfId="0" applyFont="1" applyFill="1" applyBorder="1" applyProtection="1">
      <protection locked="0"/>
    </xf>
    <xf numFmtId="3" fontId="21" fillId="41" borderId="0" xfId="0" applyNumberFormat="1" applyFont="1" applyFill="1" applyBorder="1" applyProtection="1">
      <protection locked="0"/>
    </xf>
    <xf numFmtId="168" fontId="23" fillId="41" borderId="0" xfId="0" applyNumberFormat="1" applyFont="1" applyFill="1" applyBorder="1" applyProtection="1">
      <protection locked="0"/>
    </xf>
    <xf numFmtId="169" fontId="21" fillId="41" borderId="0" xfId="0" applyNumberFormat="1" applyFont="1" applyFill="1" applyBorder="1" applyProtection="1">
      <protection locked="0"/>
    </xf>
    <xf numFmtId="168" fontId="23" fillId="41" borderId="15" xfId="0" applyNumberFormat="1" applyFont="1" applyFill="1" applyBorder="1" applyProtection="1">
      <protection locked="0"/>
    </xf>
    <xf numFmtId="168" fontId="21" fillId="41" borderId="0" xfId="0" applyNumberFormat="1" applyFont="1" applyFill="1" applyBorder="1" applyProtection="1">
      <protection locked="0"/>
    </xf>
    <xf numFmtId="0" fontId="21" fillId="41" borderId="0" xfId="0" applyFont="1" applyFill="1" applyBorder="1" applyProtection="1">
      <protection locked="0"/>
    </xf>
    <xf numFmtId="4" fontId="21" fillId="41" borderId="16" xfId="0" applyNumberFormat="1" applyFont="1" applyFill="1" applyBorder="1" applyProtection="1">
      <protection locked="0"/>
    </xf>
    <xf numFmtId="0" fontId="23" fillId="41" borderId="17" xfId="0" applyFont="1" applyFill="1" applyBorder="1" applyProtection="1">
      <protection locked="0"/>
    </xf>
    <xf numFmtId="44" fontId="22" fillId="41" borderId="17" xfId="29" applyFont="1" applyFill="1" applyBorder="1" applyProtection="1">
      <protection locked="0"/>
    </xf>
    <xf numFmtId="0" fontId="2" fillId="41" borderId="17" xfId="0" applyFont="1" applyFill="1" applyBorder="1" applyProtection="1">
      <protection locked="0"/>
    </xf>
    <xf numFmtId="168" fontId="23" fillId="41" borderId="18" xfId="0" applyNumberFormat="1" applyFont="1" applyFill="1" applyBorder="1" applyProtection="1">
      <protection locked="0"/>
    </xf>
    <xf numFmtId="0" fontId="21" fillId="41" borderId="16" xfId="0" applyFont="1" applyFill="1" applyBorder="1" applyProtection="1">
      <protection locked="0"/>
    </xf>
    <xf numFmtId="10" fontId="23" fillId="41" borderId="17" xfId="0" applyNumberFormat="1" applyFont="1" applyFill="1" applyBorder="1" applyProtection="1">
      <protection locked="0"/>
    </xf>
    <xf numFmtId="5" fontId="23" fillId="41" borderId="17" xfId="29" applyNumberFormat="1" applyFont="1" applyFill="1" applyBorder="1" applyProtection="1">
      <protection locked="0"/>
    </xf>
    <xf numFmtId="42" fontId="23" fillId="41" borderId="17" xfId="29" applyNumberFormat="1" applyFont="1" applyFill="1" applyBorder="1" applyProtection="1">
      <protection locked="0"/>
    </xf>
    <xf numFmtId="168" fontId="23" fillId="41" borderId="17" xfId="0" applyNumberFormat="1" applyFont="1" applyFill="1" applyBorder="1" applyProtection="1">
      <protection locked="0"/>
    </xf>
    <xf numFmtId="0" fontId="53" fillId="42" borderId="11" xfId="0" applyNumberFormat="1" applyFont="1" applyFill="1" applyBorder="1" applyAlignment="1" applyProtection="1">
      <protection locked="0"/>
    </xf>
    <xf numFmtId="0" fontId="21" fillId="42" borderId="12" xfId="0" applyNumberFormat="1" applyFont="1" applyFill="1" applyBorder="1" applyAlignment="1" applyProtection="1">
      <alignment horizontal="right"/>
      <protection locked="0"/>
    </xf>
    <xf numFmtId="0" fontId="21" fillId="42" borderId="12" xfId="0" applyNumberFormat="1" applyFont="1" applyFill="1" applyBorder="1" applyAlignment="1" applyProtection="1">
      <alignment horizontal="center"/>
      <protection locked="0"/>
    </xf>
    <xf numFmtId="0" fontId="23" fillId="42" borderId="12" xfId="0" applyNumberFormat="1" applyFont="1" applyFill="1" applyBorder="1" applyAlignment="1" applyProtection="1">
      <alignment horizontal="right"/>
      <protection locked="0"/>
    </xf>
    <xf numFmtId="166" fontId="21" fillId="42" borderId="12" xfId="0" applyNumberFormat="1" applyFont="1" applyFill="1" applyBorder="1" applyAlignment="1" applyProtection="1">
      <protection locked="0"/>
    </xf>
    <xf numFmtId="165" fontId="21" fillId="42" borderId="11" xfId="0" applyNumberFormat="1" applyFont="1" applyFill="1" applyBorder="1" applyAlignment="1" applyProtection="1">
      <protection locked="0"/>
    </xf>
    <xf numFmtId="0" fontId="21" fillId="43" borderId="19" xfId="0" applyFont="1" applyFill="1" applyBorder="1" applyProtection="1">
      <protection locked="0"/>
    </xf>
    <xf numFmtId="0" fontId="21" fillId="42" borderId="14" xfId="0" applyNumberFormat="1" applyFont="1" applyFill="1" applyBorder="1" applyAlignment="1" applyProtection="1">
      <protection locked="0"/>
    </xf>
    <xf numFmtId="166" fontId="20" fillId="42" borderId="0" xfId="0" applyNumberFormat="1" applyFont="1" applyFill="1" applyBorder="1" applyAlignment="1" applyProtection="1">
      <alignment horizontal="right"/>
      <protection locked="0"/>
    </xf>
    <xf numFmtId="3" fontId="20" fillId="42" borderId="0" xfId="0" applyNumberFormat="1" applyFont="1" applyFill="1" applyBorder="1" applyAlignment="1" applyProtection="1">
      <protection locked="0"/>
    </xf>
    <xf numFmtId="167" fontId="20" fillId="42" borderId="10" xfId="0" applyNumberFormat="1" applyFont="1" applyFill="1" applyBorder="1" applyAlignment="1" applyProtection="1">
      <protection locked="0"/>
    </xf>
    <xf numFmtId="14" fontId="21" fillId="42" borderId="0" xfId="0" applyNumberFormat="1" applyFont="1" applyFill="1" applyBorder="1" applyAlignment="1" applyProtection="1">
      <protection locked="0"/>
    </xf>
    <xf numFmtId="0" fontId="24" fillId="43" borderId="16" xfId="0" applyFont="1" applyFill="1" applyBorder="1" applyProtection="1">
      <protection locked="0"/>
    </xf>
    <xf numFmtId="0" fontId="21" fillId="42" borderId="18" xfId="0" applyNumberFormat="1" applyFont="1" applyFill="1" applyBorder="1" applyAlignment="1" applyProtection="1">
      <protection locked="0"/>
    </xf>
    <xf numFmtId="0" fontId="29" fillId="43" borderId="0" xfId="0" applyFont="1" applyFill="1" applyBorder="1" applyAlignment="1" applyProtection="1">
      <alignment horizontal="centerContinuous"/>
      <protection locked="0"/>
    </xf>
    <xf numFmtId="0" fontId="2" fillId="43" borderId="0" xfId="0" applyFont="1" applyFill="1" applyBorder="1" applyAlignment="1">
      <alignment horizontal="centerContinuous"/>
    </xf>
    <xf numFmtId="0" fontId="20" fillId="43" borderId="15" xfId="0" applyFont="1" applyFill="1" applyBorder="1" applyAlignment="1" applyProtection="1">
      <alignment horizontal="centerContinuous"/>
      <protection locked="0"/>
    </xf>
    <xf numFmtId="167" fontId="20" fillId="42" borderId="0" xfId="0" applyNumberFormat="1" applyFont="1" applyFill="1" applyBorder="1" applyAlignment="1" applyProtection="1">
      <protection locked="0"/>
    </xf>
    <xf numFmtId="0" fontId="55" fillId="42" borderId="0" xfId="0" applyNumberFormat="1" applyFont="1" applyFill="1" applyBorder="1" applyAlignment="1" applyProtection="1">
      <alignment horizontal="centerContinuous"/>
      <protection locked="0"/>
    </xf>
    <xf numFmtId="0" fontId="20" fillId="42" borderId="0" xfId="0" applyNumberFormat="1" applyFont="1" applyFill="1" applyBorder="1" applyAlignment="1" applyProtection="1">
      <protection locked="0"/>
    </xf>
    <xf numFmtId="0" fontId="20" fillId="43" borderId="15" xfId="0" applyFont="1" applyFill="1" applyBorder="1" applyProtection="1">
      <protection locked="0"/>
    </xf>
    <xf numFmtId="0" fontId="20" fillId="42" borderId="14" xfId="0" applyNumberFormat="1" applyFont="1" applyFill="1" applyBorder="1" applyAlignment="1" applyProtection="1">
      <protection locked="0"/>
    </xf>
    <xf numFmtId="166" fontId="20" fillId="42" borderId="0" xfId="0" applyNumberFormat="1" applyFont="1" applyFill="1" applyBorder="1" applyAlignment="1" applyProtection="1">
      <protection locked="0"/>
    </xf>
    <xf numFmtId="6" fontId="20" fillId="42" borderId="0" xfId="0" applyNumberFormat="1" applyFont="1" applyFill="1" applyBorder="1" applyAlignment="1" applyProtection="1">
      <protection locked="0"/>
    </xf>
    <xf numFmtId="166" fontId="25" fillId="42" borderId="0" xfId="0" applyNumberFormat="1" applyFont="1" applyFill="1" applyBorder="1" applyAlignment="1" applyProtection="1">
      <protection locked="0"/>
    </xf>
    <xf numFmtId="3" fontId="25" fillId="42" borderId="0" xfId="0" applyNumberFormat="1" applyFont="1" applyFill="1" applyBorder="1" applyAlignment="1" applyProtection="1">
      <protection locked="0"/>
    </xf>
    <xf numFmtId="167" fontId="25" fillId="42" borderId="0" xfId="0" applyNumberFormat="1" applyFont="1" applyFill="1" applyBorder="1" applyAlignment="1" applyProtection="1">
      <protection locked="0"/>
    </xf>
    <xf numFmtId="0" fontId="53" fillId="42" borderId="14" xfId="0" applyNumberFormat="1" applyFont="1" applyFill="1" applyBorder="1" applyAlignment="1" applyProtection="1">
      <protection locked="0"/>
    </xf>
    <xf numFmtId="167" fontId="21" fillId="42" borderId="0" xfId="0" applyNumberFormat="1" applyFont="1" applyFill="1" applyBorder="1" applyAlignment="1" applyProtection="1">
      <protection locked="0"/>
    </xf>
    <xf numFmtId="44" fontId="20" fillId="42" borderId="0" xfId="0" applyNumberFormat="1" applyFont="1" applyFill="1" applyBorder="1" applyAlignment="1" applyProtection="1">
      <protection locked="0"/>
    </xf>
    <xf numFmtId="165" fontId="20" fillId="42" borderId="0" xfId="0" applyNumberFormat="1" applyFont="1" applyFill="1" applyBorder="1" applyAlignment="1" applyProtection="1">
      <alignment horizontal="right"/>
      <protection locked="0"/>
    </xf>
    <xf numFmtId="165" fontId="20" fillId="42" borderId="0" xfId="0" applyNumberFormat="1" applyFont="1" applyFill="1" applyBorder="1" applyAlignment="1" applyProtection="1">
      <protection locked="0"/>
    </xf>
    <xf numFmtId="0" fontId="21" fillId="42" borderId="0" xfId="0" applyNumberFormat="1" applyFont="1" applyFill="1" applyBorder="1" applyAlignment="1" applyProtection="1">
      <protection locked="0"/>
    </xf>
    <xf numFmtId="4" fontId="20" fillId="43" borderId="15" xfId="0" applyNumberFormat="1" applyFont="1" applyFill="1" applyBorder="1" applyProtection="1">
      <protection locked="0"/>
    </xf>
    <xf numFmtId="4" fontId="20" fillId="42" borderId="0" xfId="0" applyNumberFormat="1" applyFont="1" applyFill="1" applyBorder="1" applyAlignment="1" applyProtection="1">
      <protection locked="0"/>
    </xf>
    <xf numFmtId="3" fontId="21" fillId="42" borderId="0" xfId="0" applyNumberFormat="1" applyFont="1" applyFill="1" applyBorder="1" applyAlignment="1" applyProtection="1">
      <protection locked="0"/>
    </xf>
    <xf numFmtId="3" fontId="21" fillId="42" borderId="14" xfId="0" applyNumberFormat="1" applyFont="1" applyFill="1" applyBorder="1" applyAlignment="1" applyProtection="1">
      <protection locked="0"/>
    </xf>
    <xf numFmtId="4" fontId="21" fillId="42" borderId="0" xfId="0" applyNumberFormat="1" applyFont="1" applyFill="1" applyBorder="1" applyAlignment="1" applyProtection="1">
      <protection locked="0"/>
    </xf>
    <xf numFmtId="173" fontId="21" fillId="42" borderId="0" xfId="0" applyNumberFormat="1" applyFont="1" applyFill="1" applyBorder="1" applyAlignment="1" applyProtection="1">
      <protection locked="0"/>
    </xf>
    <xf numFmtId="168" fontId="20" fillId="43" borderId="15" xfId="0" applyNumberFormat="1" applyFont="1" applyFill="1" applyBorder="1" applyProtection="1">
      <protection locked="0"/>
    </xf>
    <xf numFmtId="3" fontId="20" fillId="42" borderId="14" xfId="0" applyNumberFormat="1" applyFont="1" applyFill="1" applyBorder="1" applyAlignment="1" applyProtection="1">
      <protection locked="0"/>
    </xf>
    <xf numFmtId="3" fontId="20" fillId="43" borderId="14" xfId="0" applyNumberFormat="1" applyFont="1" applyFill="1" applyBorder="1" applyAlignment="1" applyProtection="1">
      <protection locked="0"/>
    </xf>
    <xf numFmtId="0" fontId="20" fillId="43" borderId="0" xfId="0" applyNumberFormat="1" applyFont="1" applyFill="1" applyBorder="1" applyAlignment="1" applyProtection="1">
      <protection locked="0"/>
    </xf>
    <xf numFmtId="0" fontId="2" fillId="43" borderId="0" xfId="0" applyFont="1" applyFill="1" applyBorder="1" applyProtection="1">
      <protection locked="0"/>
    </xf>
    <xf numFmtId="5" fontId="20" fillId="42" borderId="0" xfId="0" applyNumberFormat="1" applyFont="1" applyFill="1" applyBorder="1" applyAlignment="1" applyProtection="1">
      <protection locked="0"/>
    </xf>
    <xf numFmtId="4" fontId="25" fillId="43" borderId="15" xfId="0" applyNumberFormat="1" applyFont="1" applyFill="1" applyBorder="1" applyProtection="1">
      <protection locked="0"/>
    </xf>
    <xf numFmtId="0" fontId="21" fillId="42" borderId="0" xfId="0" applyNumberFormat="1" applyFont="1" applyFill="1" applyBorder="1" applyAlignment="1" applyProtection="1">
      <alignment horizontal="right"/>
      <protection locked="0"/>
    </xf>
    <xf numFmtId="167" fontId="21" fillId="42" borderId="0" xfId="0" applyNumberFormat="1" applyFont="1" applyFill="1" applyBorder="1" applyAlignment="1" applyProtection="1">
      <alignment horizontal="left"/>
      <protection locked="0"/>
    </xf>
    <xf numFmtId="2" fontId="20" fillId="42" borderId="0" xfId="0" applyNumberFormat="1" applyFont="1" applyFill="1" applyBorder="1" applyAlignment="1" applyProtection="1">
      <protection locked="0"/>
    </xf>
    <xf numFmtId="0" fontId="23" fillId="43" borderId="20" xfId="0" applyFont="1" applyFill="1" applyBorder="1" applyProtection="1">
      <protection locked="0"/>
    </xf>
    <xf numFmtId="44" fontId="22" fillId="43" borderId="21" xfId="29" applyFont="1" applyFill="1" applyBorder="1" applyProtection="1">
      <protection locked="0"/>
    </xf>
    <xf numFmtId="0" fontId="23" fillId="43" borderId="22" xfId="0" applyFont="1" applyFill="1" applyBorder="1" applyProtection="1">
      <protection locked="0"/>
    </xf>
    <xf numFmtId="0" fontId="20" fillId="43" borderId="0" xfId="0" applyFont="1" applyFill="1" applyBorder="1" applyProtection="1">
      <protection locked="0"/>
    </xf>
    <xf numFmtId="10" fontId="21" fillId="43" borderId="14" xfId="0" applyNumberFormat="1" applyFont="1" applyFill="1" applyBorder="1" applyProtection="1">
      <protection locked="0"/>
    </xf>
    <xf numFmtId="0" fontId="23" fillId="43" borderId="0" xfId="0" applyFont="1" applyFill="1" applyBorder="1" applyProtection="1">
      <protection locked="0"/>
    </xf>
    <xf numFmtId="44" fontId="23" fillId="43" borderId="0" xfId="29" applyFont="1" applyFill="1" applyBorder="1" applyProtection="1">
      <protection locked="0"/>
    </xf>
    <xf numFmtId="0" fontId="22" fillId="43" borderId="0" xfId="0" applyFont="1" applyFill="1" applyBorder="1" applyProtection="1">
      <protection locked="0"/>
    </xf>
    <xf numFmtId="3" fontId="23" fillId="43" borderId="15" xfId="0" applyNumberFormat="1" applyFont="1" applyFill="1" applyBorder="1" applyProtection="1">
      <protection locked="0"/>
    </xf>
    <xf numFmtId="44" fontId="22" fillId="43" borderId="0" xfId="29" applyFont="1" applyFill="1" applyBorder="1" applyProtection="1">
      <protection locked="0"/>
    </xf>
    <xf numFmtId="3" fontId="54" fillId="43" borderId="15" xfId="0" applyNumberFormat="1" applyFont="1" applyFill="1" applyBorder="1" applyProtection="1">
      <protection locked="0"/>
    </xf>
    <xf numFmtId="14" fontId="57" fillId="43" borderId="14" xfId="0" applyNumberFormat="1" applyFont="1" applyFill="1" applyBorder="1" applyProtection="1">
      <protection locked="0"/>
    </xf>
    <xf numFmtId="10" fontId="24" fillId="43" borderId="14" xfId="0" applyNumberFormat="1" applyFont="1" applyFill="1" applyBorder="1" applyProtection="1">
      <protection locked="0"/>
    </xf>
    <xf numFmtId="0" fontId="22" fillId="43" borderId="0" xfId="0" applyFont="1" applyFill="1" applyBorder="1"/>
    <xf numFmtId="0" fontId="2" fillId="43" borderId="0" xfId="0" applyFont="1" applyFill="1" applyBorder="1"/>
    <xf numFmtId="3" fontId="23" fillId="43" borderId="0" xfId="0" applyNumberFormat="1" applyFont="1" applyFill="1" applyBorder="1" applyProtection="1">
      <protection locked="0"/>
    </xf>
    <xf numFmtId="0" fontId="2" fillId="43" borderId="14" xfId="0" applyFont="1" applyFill="1" applyBorder="1" applyProtection="1">
      <protection locked="0"/>
    </xf>
    <xf numFmtId="3" fontId="21" fillId="43" borderId="0" xfId="0" applyNumberFormat="1" applyFont="1" applyFill="1" applyBorder="1" applyProtection="1">
      <protection locked="0"/>
    </xf>
    <xf numFmtId="168" fontId="23" fillId="43" borderId="0" xfId="0" applyNumberFormat="1" applyFont="1" applyFill="1" applyBorder="1" applyProtection="1">
      <protection locked="0"/>
    </xf>
    <xf numFmtId="169" fontId="21" fillId="43" borderId="0" xfId="0" applyNumberFormat="1" applyFont="1" applyFill="1" applyBorder="1" applyProtection="1">
      <protection locked="0"/>
    </xf>
    <xf numFmtId="168" fontId="23" fillId="43" borderId="15" xfId="0" applyNumberFormat="1" applyFont="1" applyFill="1" applyBorder="1" applyProtection="1">
      <protection locked="0"/>
    </xf>
    <xf numFmtId="168" fontId="21" fillId="43" borderId="0" xfId="0" applyNumberFormat="1" applyFont="1" applyFill="1" applyBorder="1" applyProtection="1">
      <protection locked="0"/>
    </xf>
    <xf numFmtId="0" fontId="21" fillId="43" borderId="0" xfId="0" applyFont="1" applyFill="1" applyBorder="1" applyProtection="1">
      <protection locked="0"/>
    </xf>
    <xf numFmtId="4" fontId="21" fillId="43" borderId="16" xfId="0" applyNumberFormat="1" applyFont="1" applyFill="1" applyBorder="1" applyProtection="1">
      <protection locked="0"/>
    </xf>
    <xf numFmtId="0" fontId="23" fillId="43" borderId="17" xfId="0" applyFont="1" applyFill="1" applyBorder="1" applyProtection="1">
      <protection locked="0"/>
    </xf>
    <xf numFmtId="44" fontId="22" fillId="43" borderId="17" xfId="29" applyFont="1" applyFill="1" applyBorder="1" applyProtection="1">
      <protection locked="0"/>
    </xf>
    <xf numFmtId="0" fontId="2" fillId="43" borderId="17" xfId="0" applyFont="1" applyFill="1" applyBorder="1" applyProtection="1">
      <protection locked="0"/>
    </xf>
    <xf numFmtId="168" fontId="23" fillId="43" borderId="18" xfId="0" applyNumberFormat="1" applyFont="1" applyFill="1" applyBorder="1" applyProtection="1">
      <protection locked="0"/>
    </xf>
    <xf numFmtId="0" fontId="21" fillId="43" borderId="16" xfId="0" applyFont="1" applyFill="1" applyBorder="1" applyProtection="1">
      <protection locked="0"/>
    </xf>
    <xf numFmtId="10" fontId="23" fillId="43" borderId="17" xfId="0" applyNumberFormat="1" applyFont="1" applyFill="1" applyBorder="1" applyProtection="1">
      <protection locked="0"/>
    </xf>
    <xf numFmtId="5" fontId="23" fillId="43" borderId="17" xfId="29" applyNumberFormat="1" applyFont="1" applyFill="1" applyBorder="1" applyProtection="1">
      <protection locked="0"/>
    </xf>
    <xf numFmtId="42" fontId="23" fillId="43" borderId="17" xfId="29" applyNumberFormat="1" applyFont="1" applyFill="1" applyBorder="1" applyProtection="1">
      <protection locked="0"/>
    </xf>
    <xf numFmtId="168" fontId="23" fillId="43" borderId="17" xfId="0" applyNumberFormat="1" applyFont="1" applyFill="1" applyBorder="1" applyProtection="1">
      <protection locked="0"/>
    </xf>
    <xf numFmtId="1" fontId="21" fillId="0" borderId="0" xfId="0" applyNumberFormat="1" applyFont="1" applyFill="1" applyBorder="1" applyAlignment="1" applyProtection="1">
      <alignment horizontal="left"/>
      <protection locked="0"/>
    </xf>
    <xf numFmtId="0" fontId="21" fillId="44" borderId="0" xfId="0" applyNumberFormat="1" applyFont="1" applyFill="1" applyBorder="1" applyAlignment="1" applyProtection="1">
      <protection locked="0"/>
    </xf>
    <xf numFmtId="49" fontId="21" fillId="45" borderId="0" xfId="0" applyNumberFormat="1" applyFont="1" applyFill="1" applyBorder="1" applyAlignment="1" applyProtection="1">
      <alignment horizontal="center"/>
      <protection locked="0"/>
    </xf>
    <xf numFmtId="3" fontId="21" fillId="46" borderId="0" xfId="0" applyNumberFormat="1" applyFont="1" applyFill="1" applyBorder="1" applyAlignment="1" applyProtection="1">
      <alignment horizontal="center"/>
      <protection locked="0"/>
    </xf>
    <xf numFmtId="0" fontId="21" fillId="46" borderId="0" xfId="0" applyFont="1" applyFill="1" applyBorder="1" applyAlignment="1" applyProtection="1">
      <alignment horizontal="center"/>
      <protection locked="0"/>
    </xf>
    <xf numFmtId="1" fontId="20" fillId="0" borderId="0" xfId="0" applyNumberFormat="1" applyFont="1" applyFill="1" applyBorder="1" applyAlignment="1" applyProtection="1">
      <alignment horizontal="left"/>
      <protection locked="0"/>
    </xf>
    <xf numFmtId="0" fontId="21" fillId="45" borderId="0" xfId="0" applyNumberFormat="1" applyFont="1" applyFill="1" applyBorder="1" applyAlignment="1" applyProtection="1">
      <alignment horizontal="center"/>
      <protection locked="0"/>
    </xf>
    <xf numFmtId="14" fontId="21" fillId="46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0" fontId="21" fillId="0" borderId="0" xfId="0" applyNumberFormat="1" applyFont="1" applyFill="1" applyBorder="1" applyAlignment="1" applyProtection="1">
      <alignment horizontal="center"/>
      <protection locked="0"/>
    </xf>
    <xf numFmtId="3" fontId="21" fillId="0" borderId="0" xfId="0" applyNumberFormat="1" applyFont="1" applyFill="1" applyBorder="1" applyAlignment="1" applyProtection="1">
      <alignment horizontal="center"/>
      <protection locked="0"/>
    </xf>
    <xf numFmtId="10" fontId="21" fillId="0" borderId="0" xfId="0" applyNumberFormat="1" applyFont="1" applyFill="1" applyBorder="1" applyAlignment="1" applyProtection="1">
      <alignment horizontal="center"/>
      <protection locked="0"/>
    </xf>
    <xf numFmtId="38" fontId="20" fillId="0" borderId="0" xfId="0" applyNumberFormat="1" applyFont="1" applyFill="1" applyBorder="1" applyAlignment="1" applyProtection="1">
      <protection locked="0"/>
    </xf>
    <xf numFmtId="3" fontId="23" fillId="0" borderId="0" xfId="0" applyNumberFormat="1" applyFont="1" applyFill="1" applyBorder="1" applyProtection="1">
      <protection locked="0"/>
    </xf>
    <xf numFmtId="3" fontId="20" fillId="47" borderId="0" xfId="0" applyNumberFormat="1" applyFont="1" applyFill="1" applyBorder="1" applyProtection="1">
      <protection locked="0"/>
    </xf>
    <xf numFmtId="10" fontId="20" fillId="0" borderId="0" xfId="0" applyNumberFormat="1" applyFont="1" applyFill="1" applyBorder="1" applyProtection="1">
      <protection locked="0"/>
    </xf>
    <xf numFmtId="38" fontId="20" fillId="0" borderId="0" xfId="0" applyNumberFormat="1" applyFont="1" applyFill="1" applyBorder="1" applyProtection="1">
      <protection locked="0"/>
    </xf>
    <xf numFmtId="38" fontId="20" fillId="47" borderId="0" xfId="0" applyNumberFormat="1" applyFont="1" applyFill="1" applyBorder="1" applyProtection="1">
      <protection locked="0"/>
    </xf>
    <xf numFmtId="38" fontId="21" fillId="0" borderId="0" xfId="0" applyNumberFormat="1" applyFont="1" applyFill="1" applyBorder="1" applyAlignment="1" applyProtection="1">
      <protection locked="0"/>
    </xf>
    <xf numFmtId="38" fontId="21" fillId="0" borderId="0" xfId="0" applyNumberFormat="1" applyFont="1" applyFill="1" applyBorder="1" applyAlignment="1" applyProtection="1">
      <alignment horizontal="right"/>
      <protection locked="0"/>
    </xf>
    <xf numFmtId="38" fontId="21" fillId="0" borderId="0" xfId="0" applyNumberFormat="1" applyFont="1" applyFill="1" applyBorder="1" applyProtection="1">
      <protection locked="0"/>
    </xf>
    <xf numFmtId="0" fontId="58" fillId="0" borderId="0" xfId="0" applyFont="1" applyFill="1" applyBorder="1" applyProtection="1">
      <protection locked="0"/>
    </xf>
    <xf numFmtId="0" fontId="26" fillId="0" borderId="0" xfId="0" applyNumberFormat="1" applyFont="1" applyFill="1" applyBorder="1" applyAlignment="1" applyProtection="1">
      <alignment horizontal="center"/>
      <protection locked="0"/>
    </xf>
    <xf numFmtId="3" fontId="26" fillId="0" borderId="0" xfId="0" applyNumberFormat="1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20" fillId="48" borderId="0" xfId="0" applyNumberFormat="1" applyFont="1" applyFill="1" applyBorder="1" applyAlignment="1" applyProtection="1">
      <protection locked="0"/>
    </xf>
    <xf numFmtId="4" fontId="20" fillId="48" borderId="0" xfId="0" applyNumberFormat="1" applyFont="1" applyFill="1" applyBorder="1" applyAlignment="1" applyProtection="1">
      <protection locked="0"/>
    </xf>
    <xf numFmtId="49" fontId="20" fillId="48" borderId="0" xfId="0" applyNumberFormat="1" applyFont="1" applyFill="1" applyBorder="1" applyAlignment="1" applyProtection="1">
      <alignment horizontal="right"/>
      <protection locked="0"/>
    </xf>
    <xf numFmtId="3" fontId="2" fillId="0" borderId="0" xfId="0" applyNumberFormat="1" applyFont="1" applyFill="1" applyBorder="1" applyAlignment="1" applyProtection="1">
      <alignment horizontal="right"/>
      <protection locked="0"/>
    </xf>
    <xf numFmtId="4" fontId="20" fillId="0" borderId="0" xfId="0" applyNumberFormat="1" applyFont="1" applyFill="1" applyBorder="1" applyAlignment="1" applyProtection="1">
      <protection locked="0"/>
    </xf>
    <xf numFmtId="49" fontId="20" fillId="0" borderId="0" xfId="0" applyNumberFormat="1" applyFont="1" applyFill="1" applyBorder="1" applyAlignment="1" applyProtection="1">
      <alignment horizontal="right"/>
      <protection locked="0"/>
    </xf>
    <xf numFmtId="3" fontId="25" fillId="0" borderId="0" xfId="0" applyNumberFormat="1" applyFont="1" applyFill="1" applyBorder="1" applyAlignment="1" applyProtection="1">
      <alignment horizontal="right"/>
      <protection locked="0"/>
    </xf>
    <xf numFmtId="4" fontId="25" fillId="0" borderId="0" xfId="0" applyNumberFormat="1" applyFont="1" applyFill="1" applyBorder="1" applyProtection="1">
      <protection locked="0"/>
    </xf>
    <xf numFmtId="4" fontId="2" fillId="0" borderId="0" xfId="0" applyNumberFormat="1" applyFont="1" applyFill="1" applyBorder="1" applyProtection="1">
      <protection locked="0"/>
    </xf>
    <xf numFmtId="3" fontId="20" fillId="0" borderId="0" xfId="0" applyNumberFormat="1" applyFont="1" applyFill="1" applyBorder="1" applyAlignment="1" applyProtection="1">
      <alignment horizontal="right"/>
      <protection locked="0"/>
    </xf>
    <xf numFmtId="44" fontId="20" fillId="0" borderId="0" xfId="0" applyNumberFormat="1" applyFont="1" applyFill="1" applyBorder="1" applyProtection="1">
      <protection locked="0"/>
    </xf>
    <xf numFmtId="0" fontId="25" fillId="0" borderId="0" xfId="0" applyNumberFormat="1" applyFont="1" applyFill="1" applyBorder="1" applyAlignment="1" applyProtection="1">
      <protection locked="0"/>
    </xf>
    <xf numFmtId="4" fontId="25" fillId="0" borderId="0" xfId="0" applyNumberFormat="1" applyFont="1" applyFill="1" applyBorder="1" applyAlignment="1" applyProtection="1">
      <protection locked="0"/>
    </xf>
    <xf numFmtId="49" fontId="25" fillId="0" borderId="0" xfId="0" applyNumberFormat="1" applyFont="1" applyFill="1" applyBorder="1" applyAlignment="1" applyProtection="1">
      <alignment horizontal="right"/>
      <protection locked="0"/>
    </xf>
    <xf numFmtId="44" fontId="20" fillId="48" borderId="0" xfId="29" applyFont="1" applyFill="1" applyBorder="1" applyAlignment="1" applyProtection="1">
      <protection locked="0"/>
    </xf>
    <xf numFmtId="49" fontId="20" fillId="48" borderId="0" xfId="0" applyNumberFormat="1" applyFont="1" applyFill="1" applyBorder="1" applyAlignment="1" applyProtection="1">
      <alignment horizontal="left"/>
      <protection locked="0"/>
    </xf>
    <xf numFmtId="3" fontId="20" fillId="0" borderId="0" xfId="0" applyNumberFormat="1" applyFont="1" applyFill="1" applyBorder="1" applyAlignment="1" applyProtection="1">
      <alignment horizontal="left"/>
      <protection locked="0"/>
    </xf>
    <xf numFmtId="44" fontId="33" fillId="0" borderId="0" xfId="29" applyFont="1" applyFill="1" applyBorder="1" applyAlignment="1" applyProtection="1">
      <protection locked="0"/>
    </xf>
    <xf numFmtId="49" fontId="20" fillId="0" borderId="0" xfId="0" applyNumberFormat="1" applyFont="1" applyFill="1" applyBorder="1" applyAlignment="1" applyProtection="1">
      <protection locked="0"/>
    </xf>
    <xf numFmtId="3" fontId="20" fillId="0" borderId="0" xfId="0" applyNumberFormat="1" applyFont="1" applyFill="1" applyBorder="1" applyAlignment="1" applyProtection="1">
      <protection locked="0"/>
    </xf>
    <xf numFmtId="44" fontId="2" fillId="0" borderId="0" xfId="0" applyNumberFormat="1" applyFont="1" applyFill="1" applyBorder="1" applyProtection="1">
      <protection locked="0"/>
    </xf>
    <xf numFmtId="3" fontId="2" fillId="0" borderId="0" xfId="0" applyNumberFormat="1" applyFont="1" applyFill="1" applyBorder="1" applyProtection="1"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1" fillId="0" borderId="0" xfId="0" applyFont="1" applyFill="1" applyBorder="1" applyProtection="1">
      <protection locked="0"/>
    </xf>
    <xf numFmtId="0" fontId="2" fillId="0" borderId="0" xfId="0" applyNumberFormat="1" applyFont="1" applyFill="1" applyBorder="1" applyProtection="1">
      <protection locked="0"/>
    </xf>
    <xf numFmtId="44" fontId="2" fillId="0" borderId="0" xfId="29" applyFont="1" applyFill="1" applyBorder="1" applyProtection="1">
      <protection locked="0"/>
    </xf>
    <xf numFmtId="0" fontId="24" fillId="0" borderId="0" xfId="0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22" fillId="0" borderId="0" xfId="0" applyNumberFormat="1" applyFont="1" applyFill="1" applyBorder="1" applyAlignment="1" applyProtection="1">
      <protection locked="0"/>
    </xf>
    <xf numFmtId="4" fontId="31" fillId="0" borderId="0" xfId="0" applyNumberFormat="1" applyFont="1" applyFill="1" applyBorder="1" applyProtection="1">
      <protection locked="0"/>
    </xf>
    <xf numFmtId="38" fontId="2" fillId="0" borderId="0" xfId="0" applyNumberFormat="1" applyFont="1" applyFill="1" applyBorder="1" applyProtection="1">
      <protection locked="0"/>
    </xf>
    <xf numFmtId="3" fontId="25" fillId="0" borderId="0" xfId="0" applyNumberFormat="1" applyFont="1" applyFill="1" applyBorder="1" applyAlignment="1" applyProtection="1">
      <protection locked="0"/>
    </xf>
    <xf numFmtId="0" fontId="59" fillId="0" borderId="0" xfId="0" applyNumberFormat="1" applyFont="1" applyFill="1" applyBorder="1" applyAlignment="1" applyProtection="1">
      <protection locked="0"/>
    </xf>
    <xf numFmtId="0" fontId="32" fillId="0" borderId="0" xfId="0" applyFont="1" applyFill="1" applyBorder="1" applyProtection="1">
      <protection locked="0"/>
    </xf>
    <xf numFmtId="0" fontId="22" fillId="0" borderId="0" xfId="0" applyNumberFormat="1" applyFont="1" applyFill="1" applyBorder="1" applyProtection="1">
      <protection locked="0"/>
    </xf>
    <xf numFmtId="165" fontId="21" fillId="44" borderId="11" xfId="0" applyNumberFormat="1" applyFont="1" applyFill="1" applyBorder="1" applyAlignment="1" applyProtection="1">
      <protection locked="0"/>
    </xf>
    <xf numFmtId="0" fontId="21" fillId="47" borderId="19" xfId="0" applyFont="1" applyFill="1" applyBorder="1" applyProtection="1">
      <protection locked="0"/>
    </xf>
    <xf numFmtId="0" fontId="24" fillId="47" borderId="16" xfId="0" applyFont="1" applyFill="1" applyBorder="1" applyProtection="1">
      <protection locked="0"/>
    </xf>
    <xf numFmtId="0" fontId="21" fillId="44" borderId="18" xfId="0" applyNumberFormat="1" applyFont="1" applyFill="1" applyBorder="1" applyAlignment="1" applyProtection="1">
      <protection locked="0"/>
    </xf>
    <xf numFmtId="0" fontId="53" fillId="49" borderId="11" xfId="0" applyNumberFormat="1" applyFont="1" applyFill="1" applyBorder="1" applyAlignment="1" applyProtection="1">
      <protection locked="0"/>
    </xf>
    <xf numFmtId="0" fontId="21" fillId="49" borderId="12" xfId="0" applyNumberFormat="1" applyFont="1" applyFill="1" applyBorder="1" applyAlignment="1" applyProtection="1">
      <alignment horizontal="right"/>
      <protection locked="0"/>
    </xf>
    <xf numFmtId="0" fontId="21" fillId="49" borderId="12" xfId="0" applyNumberFormat="1" applyFont="1" applyFill="1" applyBorder="1" applyAlignment="1" applyProtection="1">
      <alignment horizontal="center"/>
      <protection locked="0"/>
    </xf>
    <xf numFmtId="0" fontId="23" fillId="49" borderId="12" xfId="0" applyNumberFormat="1" applyFont="1" applyFill="1" applyBorder="1" applyAlignment="1" applyProtection="1">
      <alignment horizontal="right"/>
      <protection locked="0"/>
    </xf>
    <xf numFmtId="166" fontId="21" fillId="49" borderId="12" xfId="0" applyNumberFormat="1" applyFont="1" applyFill="1" applyBorder="1" applyAlignment="1" applyProtection="1">
      <protection locked="0"/>
    </xf>
    <xf numFmtId="0" fontId="21" fillId="49" borderId="14" xfId="0" applyNumberFormat="1" applyFont="1" applyFill="1" applyBorder="1" applyAlignment="1" applyProtection="1">
      <protection locked="0"/>
    </xf>
    <xf numFmtId="166" fontId="20" fillId="49" borderId="0" xfId="0" applyNumberFormat="1" applyFont="1" applyFill="1" applyBorder="1" applyAlignment="1" applyProtection="1">
      <alignment horizontal="right"/>
      <protection locked="0"/>
    </xf>
    <xf numFmtId="3" fontId="20" fillId="49" borderId="0" xfId="0" applyNumberFormat="1" applyFont="1" applyFill="1" applyBorder="1" applyAlignment="1" applyProtection="1">
      <protection locked="0"/>
    </xf>
    <xf numFmtId="167" fontId="20" fillId="49" borderId="10" xfId="0" applyNumberFormat="1" applyFont="1" applyFill="1" applyBorder="1" applyAlignment="1" applyProtection="1">
      <protection locked="0"/>
    </xf>
    <xf numFmtId="14" fontId="21" fillId="49" borderId="0" xfId="0" applyNumberFormat="1" applyFont="1" applyFill="1" applyBorder="1" applyAlignment="1" applyProtection="1">
      <protection locked="0"/>
    </xf>
    <xf numFmtId="0" fontId="29" fillId="50" borderId="0" xfId="0" applyFont="1" applyFill="1" applyBorder="1" applyAlignment="1" applyProtection="1">
      <alignment horizontal="centerContinuous"/>
      <protection locked="0"/>
    </xf>
    <xf numFmtId="0" fontId="2" fillId="50" borderId="0" xfId="0" applyFont="1" applyFill="1" applyBorder="1" applyAlignment="1">
      <alignment horizontal="centerContinuous"/>
    </xf>
    <xf numFmtId="0" fontId="20" fillId="50" borderId="15" xfId="0" applyFont="1" applyFill="1" applyBorder="1" applyAlignment="1" applyProtection="1">
      <alignment horizontal="centerContinuous"/>
      <protection locked="0"/>
    </xf>
    <xf numFmtId="167" fontId="20" fillId="49" borderId="0" xfId="0" applyNumberFormat="1" applyFont="1" applyFill="1" applyBorder="1" applyAlignment="1" applyProtection="1">
      <protection locked="0"/>
    </xf>
    <xf numFmtId="0" fontId="55" fillId="49" borderId="0" xfId="0" applyNumberFormat="1" applyFont="1" applyFill="1" applyBorder="1" applyAlignment="1" applyProtection="1">
      <alignment horizontal="centerContinuous"/>
      <protection locked="0"/>
    </xf>
    <xf numFmtId="0" fontId="20" fillId="49" borderId="0" xfId="0" applyNumberFormat="1" applyFont="1" applyFill="1" applyBorder="1" applyAlignment="1" applyProtection="1">
      <protection locked="0"/>
    </xf>
    <xf numFmtId="0" fontId="20" fillId="50" borderId="15" xfId="0" applyFont="1" applyFill="1" applyBorder="1" applyProtection="1">
      <protection locked="0"/>
    </xf>
    <xf numFmtId="0" fontId="20" fillId="49" borderId="14" xfId="0" applyNumberFormat="1" applyFont="1" applyFill="1" applyBorder="1" applyAlignment="1" applyProtection="1">
      <protection locked="0"/>
    </xf>
    <xf numFmtId="166" fontId="20" fillId="49" borderId="0" xfId="0" applyNumberFormat="1" applyFont="1" applyFill="1" applyBorder="1" applyAlignment="1" applyProtection="1">
      <protection locked="0"/>
    </xf>
    <xf numFmtId="6" fontId="20" fillId="49" borderId="0" xfId="0" applyNumberFormat="1" applyFont="1" applyFill="1" applyBorder="1" applyAlignment="1" applyProtection="1">
      <protection locked="0"/>
    </xf>
    <xf numFmtId="166" fontId="25" fillId="49" borderId="0" xfId="0" applyNumberFormat="1" applyFont="1" applyFill="1" applyBorder="1" applyAlignment="1" applyProtection="1">
      <protection locked="0"/>
    </xf>
    <xf numFmtId="3" fontId="25" fillId="49" borderId="0" xfId="0" applyNumberFormat="1" applyFont="1" applyFill="1" applyBorder="1" applyAlignment="1" applyProtection="1">
      <protection locked="0"/>
    </xf>
    <xf numFmtId="167" fontId="25" fillId="49" borderId="0" xfId="0" applyNumberFormat="1" applyFont="1" applyFill="1" applyBorder="1" applyAlignment="1" applyProtection="1">
      <protection locked="0"/>
    </xf>
    <xf numFmtId="0" fontId="53" fillId="49" borderId="14" xfId="0" applyNumberFormat="1" applyFont="1" applyFill="1" applyBorder="1" applyAlignment="1" applyProtection="1">
      <protection locked="0"/>
    </xf>
    <xf numFmtId="167" fontId="21" fillId="49" borderId="0" xfId="0" applyNumberFormat="1" applyFont="1" applyFill="1" applyBorder="1" applyAlignment="1" applyProtection="1">
      <protection locked="0"/>
    </xf>
    <xf numFmtId="44" fontId="20" fillId="49" borderId="0" xfId="0" applyNumberFormat="1" applyFont="1" applyFill="1" applyBorder="1" applyAlignment="1" applyProtection="1">
      <protection locked="0"/>
    </xf>
    <xf numFmtId="165" fontId="20" fillId="49" borderId="0" xfId="0" applyNumberFormat="1" applyFont="1" applyFill="1" applyBorder="1" applyAlignment="1" applyProtection="1">
      <alignment horizontal="right"/>
      <protection locked="0"/>
    </xf>
    <xf numFmtId="165" fontId="20" fillId="49" borderId="0" xfId="0" applyNumberFormat="1" applyFont="1" applyFill="1" applyBorder="1" applyAlignment="1" applyProtection="1">
      <protection locked="0"/>
    </xf>
    <xf numFmtId="0" fontId="21" fillId="49" borderId="0" xfId="0" applyNumberFormat="1" applyFont="1" applyFill="1" applyBorder="1" applyAlignment="1" applyProtection="1">
      <protection locked="0"/>
    </xf>
    <xf numFmtId="4" fontId="20" fillId="50" borderId="15" xfId="0" applyNumberFormat="1" applyFont="1" applyFill="1" applyBorder="1" applyProtection="1">
      <protection locked="0"/>
    </xf>
    <xf numFmtId="4" fontId="20" fillId="49" borderId="0" xfId="0" applyNumberFormat="1" applyFont="1" applyFill="1" applyBorder="1" applyAlignment="1" applyProtection="1">
      <protection locked="0"/>
    </xf>
    <xf numFmtId="3" fontId="21" fillId="49" borderId="0" xfId="0" applyNumberFormat="1" applyFont="1" applyFill="1" applyBorder="1" applyAlignment="1" applyProtection="1">
      <protection locked="0"/>
    </xf>
    <xf numFmtId="3" fontId="21" fillId="49" borderId="14" xfId="0" applyNumberFormat="1" applyFont="1" applyFill="1" applyBorder="1" applyAlignment="1" applyProtection="1">
      <protection locked="0"/>
    </xf>
    <xf numFmtId="4" fontId="21" fillId="49" borderId="0" xfId="0" applyNumberFormat="1" applyFont="1" applyFill="1" applyBorder="1" applyAlignment="1" applyProtection="1">
      <protection locked="0"/>
    </xf>
    <xf numFmtId="173" fontId="21" fillId="49" borderId="0" xfId="0" applyNumberFormat="1" applyFont="1" applyFill="1" applyBorder="1" applyAlignment="1" applyProtection="1">
      <protection locked="0"/>
    </xf>
    <xf numFmtId="168" fontId="20" fillId="50" borderId="15" xfId="0" applyNumberFormat="1" applyFont="1" applyFill="1" applyBorder="1" applyProtection="1">
      <protection locked="0"/>
    </xf>
    <xf numFmtId="3" fontId="20" fillId="49" borderId="14" xfId="0" applyNumberFormat="1" applyFont="1" applyFill="1" applyBorder="1" applyAlignment="1" applyProtection="1">
      <protection locked="0"/>
    </xf>
    <xf numFmtId="3" fontId="20" fillId="50" borderId="14" xfId="0" applyNumberFormat="1" applyFont="1" applyFill="1" applyBorder="1" applyAlignment="1" applyProtection="1">
      <protection locked="0"/>
    </xf>
    <xf numFmtId="0" fontId="20" fillId="50" borderId="0" xfId="0" applyNumberFormat="1" applyFont="1" applyFill="1" applyBorder="1" applyAlignment="1" applyProtection="1">
      <protection locked="0"/>
    </xf>
    <xf numFmtId="0" fontId="2" fillId="50" borderId="0" xfId="0" applyFont="1" applyFill="1" applyBorder="1" applyProtection="1">
      <protection locked="0"/>
    </xf>
    <xf numFmtId="5" fontId="20" fillId="49" borderId="0" xfId="0" applyNumberFormat="1" applyFont="1" applyFill="1" applyBorder="1" applyAlignment="1" applyProtection="1">
      <protection locked="0"/>
    </xf>
    <xf numFmtId="4" fontId="25" fillId="50" borderId="15" xfId="0" applyNumberFormat="1" applyFont="1" applyFill="1" applyBorder="1" applyProtection="1">
      <protection locked="0"/>
    </xf>
    <xf numFmtId="0" fontId="21" fillId="49" borderId="0" xfId="0" applyNumberFormat="1" applyFont="1" applyFill="1" applyBorder="1" applyAlignment="1" applyProtection="1">
      <alignment horizontal="right"/>
      <protection locked="0"/>
    </xf>
    <xf numFmtId="167" fontId="21" fillId="49" borderId="0" xfId="0" applyNumberFormat="1" applyFont="1" applyFill="1" applyBorder="1" applyAlignment="1" applyProtection="1">
      <alignment horizontal="left"/>
      <protection locked="0"/>
    </xf>
    <xf numFmtId="2" fontId="20" fillId="49" borderId="0" xfId="0" applyNumberFormat="1" applyFont="1" applyFill="1" applyBorder="1" applyAlignment="1" applyProtection="1">
      <protection locked="0"/>
    </xf>
    <xf numFmtId="0" fontId="23" fillId="50" borderId="20" xfId="0" applyFont="1" applyFill="1" applyBorder="1" applyProtection="1">
      <protection locked="0"/>
    </xf>
    <xf numFmtId="44" fontId="22" fillId="50" borderId="21" xfId="29" applyFont="1" applyFill="1" applyBorder="1" applyProtection="1">
      <protection locked="0"/>
    </xf>
    <xf numFmtId="0" fontId="23" fillId="50" borderId="22" xfId="0" applyFont="1" applyFill="1" applyBorder="1" applyProtection="1">
      <protection locked="0"/>
    </xf>
    <xf numFmtId="0" fontId="20" fillId="50" borderId="0" xfId="0" applyFont="1" applyFill="1" applyBorder="1" applyProtection="1">
      <protection locked="0"/>
    </xf>
    <xf numFmtId="10" fontId="21" fillId="50" borderId="14" xfId="0" applyNumberFormat="1" applyFont="1" applyFill="1" applyBorder="1" applyProtection="1">
      <protection locked="0"/>
    </xf>
    <xf numFmtId="0" fontId="23" fillId="50" borderId="0" xfId="0" applyFont="1" applyFill="1" applyBorder="1" applyProtection="1">
      <protection locked="0"/>
    </xf>
    <xf numFmtId="44" fontId="23" fillId="50" borderId="0" xfId="29" applyFont="1" applyFill="1" applyBorder="1" applyProtection="1">
      <protection locked="0"/>
    </xf>
    <xf numFmtId="0" fontId="22" fillId="50" borderId="0" xfId="0" applyFont="1" applyFill="1" applyBorder="1" applyProtection="1">
      <protection locked="0"/>
    </xf>
    <xf numFmtId="3" fontId="23" fillId="50" borderId="15" xfId="0" applyNumberFormat="1" applyFont="1" applyFill="1" applyBorder="1" applyProtection="1">
      <protection locked="0"/>
    </xf>
    <xf numFmtId="44" fontId="22" fillId="50" borderId="0" xfId="29" applyFont="1" applyFill="1" applyBorder="1" applyProtection="1">
      <protection locked="0"/>
    </xf>
    <xf numFmtId="3" fontId="54" fillId="50" borderId="15" xfId="0" applyNumberFormat="1" applyFont="1" applyFill="1" applyBorder="1" applyProtection="1">
      <protection locked="0"/>
    </xf>
    <xf numFmtId="14" fontId="57" fillId="50" borderId="14" xfId="0" applyNumberFormat="1" applyFont="1" applyFill="1" applyBorder="1" applyProtection="1">
      <protection locked="0"/>
    </xf>
    <xf numFmtId="10" fontId="24" fillId="50" borderId="14" xfId="0" applyNumberFormat="1" applyFont="1" applyFill="1" applyBorder="1" applyProtection="1">
      <protection locked="0"/>
    </xf>
    <xf numFmtId="0" fontId="22" fillId="50" borderId="0" xfId="0" applyFont="1" applyFill="1" applyBorder="1"/>
    <xf numFmtId="0" fontId="2" fillId="50" borderId="0" xfId="0" applyFont="1" applyFill="1" applyBorder="1"/>
    <xf numFmtId="3" fontId="23" fillId="50" borderId="0" xfId="0" applyNumberFormat="1" applyFont="1" applyFill="1" applyBorder="1" applyProtection="1">
      <protection locked="0"/>
    </xf>
    <xf numFmtId="0" fontId="2" fillId="50" borderId="14" xfId="0" applyFont="1" applyFill="1" applyBorder="1" applyProtection="1">
      <protection locked="0"/>
    </xf>
    <xf numFmtId="3" fontId="21" fillId="50" borderId="0" xfId="0" applyNumberFormat="1" applyFont="1" applyFill="1" applyBorder="1" applyProtection="1">
      <protection locked="0"/>
    </xf>
    <xf numFmtId="168" fontId="23" fillId="50" borderId="0" xfId="0" applyNumberFormat="1" applyFont="1" applyFill="1" applyBorder="1" applyProtection="1">
      <protection locked="0"/>
    </xf>
    <xf numFmtId="169" fontId="21" fillId="50" borderId="0" xfId="0" applyNumberFormat="1" applyFont="1" applyFill="1" applyBorder="1" applyProtection="1">
      <protection locked="0"/>
    </xf>
    <xf numFmtId="168" fontId="23" fillId="50" borderId="15" xfId="0" applyNumberFormat="1" applyFont="1" applyFill="1" applyBorder="1" applyProtection="1">
      <protection locked="0"/>
    </xf>
    <xf numFmtId="168" fontId="21" fillId="50" borderId="0" xfId="0" applyNumberFormat="1" applyFont="1" applyFill="1" applyBorder="1" applyProtection="1">
      <protection locked="0"/>
    </xf>
    <xf numFmtId="0" fontId="21" fillId="50" borderId="0" xfId="0" applyFont="1" applyFill="1" applyBorder="1" applyProtection="1">
      <protection locked="0"/>
    </xf>
    <xf numFmtId="4" fontId="21" fillId="50" borderId="16" xfId="0" applyNumberFormat="1" applyFont="1" applyFill="1" applyBorder="1" applyProtection="1">
      <protection locked="0"/>
    </xf>
    <xf numFmtId="0" fontId="23" fillId="50" borderId="17" xfId="0" applyFont="1" applyFill="1" applyBorder="1" applyProtection="1">
      <protection locked="0"/>
    </xf>
    <xf numFmtId="44" fontId="22" fillId="50" borderId="17" xfId="29" applyFont="1" applyFill="1" applyBorder="1" applyProtection="1">
      <protection locked="0"/>
    </xf>
    <xf numFmtId="0" fontId="2" fillId="50" borderId="17" xfId="0" applyFont="1" applyFill="1" applyBorder="1" applyProtection="1">
      <protection locked="0"/>
    </xf>
    <xf numFmtId="168" fontId="23" fillId="50" borderId="18" xfId="0" applyNumberFormat="1" applyFont="1" applyFill="1" applyBorder="1" applyProtection="1">
      <protection locked="0"/>
    </xf>
    <xf numFmtId="0" fontId="21" fillId="50" borderId="16" xfId="0" applyFont="1" applyFill="1" applyBorder="1" applyProtection="1">
      <protection locked="0"/>
    </xf>
    <xf numFmtId="10" fontId="23" fillId="50" borderId="17" xfId="0" applyNumberFormat="1" applyFont="1" applyFill="1" applyBorder="1" applyProtection="1">
      <protection locked="0"/>
    </xf>
    <xf numFmtId="5" fontId="23" fillId="50" borderId="17" xfId="29" applyNumberFormat="1" applyFont="1" applyFill="1" applyBorder="1" applyProtection="1">
      <protection locked="0"/>
    </xf>
    <xf numFmtId="42" fontId="23" fillId="50" borderId="17" xfId="29" applyNumberFormat="1" applyFont="1" applyFill="1" applyBorder="1" applyProtection="1">
      <protection locked="0"/>
    </xf>
    <xf numFmtId="168" fontId="23" fillId="50" borderId="17" xfId="0" applyNumberFormat="1" applyFont="1" applyFill="1" applyBorder="1" applyProtection="1">
      <protection locked="0"/>
    </xf>
    <xf numFmtId="1" fontId="23" fillId="0" borderId="24" xfId="0" applyNumberFormat="1" applyFont="1" applyFill="1" applyBorder="1" applyAlignment="1" applyProtection="1">
      <alignment horizontal="left"/>
      <protection locked="0"/>
    </xf>
    <xf numFmtId="0" fontId="23" fillId="0" borderId="24" xfId="0" applyNumberFormat="1" applyFont="1" applyFill="1" applyBorder="1" applyAlignment="1" applyProtection="1">
      <protection locked="0"/>
    </xf>
    <xf numFmtId="3" fontId="22" fillId="0" borderId="24" xfId="0" applyNumberFormat="1" applyFont="1" applyFill="1" applyBorder="1" applyAlignment="1" applyProtection="1">
      <alignment horizontal="right"/>
      <protection locked="0"/>
    </xf>
    <xf numFmtId="3" fontId="23" fillId="0" borderId="24" xfId="0" applyNumberFormat="1" applyFont="1" applyFill="1" applyBorder="1" applyAlignment="1" applyProtection="1">
      <alignment horizontal="right"/>
      <protection locked="0"/>
    </xf>
    <xf numFmtId="1" fontId="22" fillId="0" borderId="24" xfId="0" applyNumberFormat="1" applyFont="1" applyFill="1" applyBorder="1" applyAlignment="1" applyProtection="1">
      <protection locked="0"/>
    </xf>
    <xf numFmtId="1" fontId="23" fillId="0" borderId="24" xfId="0" applyNumberFormat="1" applyFont="1" applyFill="1" applyBorder="1" applyAlignment="1" applyProtection="1">
      <protection locked="0"/>
    </xf>
    <xf numFmtId="3" fontId="23" fillId="0" borderId="24" xfId="0" applyNumberFormat="1" applyFont="1" applyFill="1" applyBorder="1" applyAlignment="1" applyProtection="1">
      <protection locked="0"/>
    </xf>
    <xf numFmtId="0" fontId="24" fillId="0" borderId="24" xfId="0" applyNumberFormat="1" applyFont="1" applyFill="1" applyBorder="1" applyAlignment="1" applyProtection="1">
      <protection locked="0"/>
    </xf>
    <xf numFmtId="0" fontId="1" fillId="0" borderId="24" xfId="0" applyNumberFormat="1" applyFont="1" applyFill="1" applyBorder="1" applyAlignment="1" applyProtection="1">
      <protection locked="0"/>
    </xf>
    <xf numFmtId="0" fontId="0" fillId="0" borderId="24" xfId="0" applyFill="1" applyBorder="1"/>
    <xf numFmtId="49" fontId="23" fillId="46" borderId="24" xfId="0" applyNumberFormat="1" applyFont="1" applyFill="1" applyBorder="1" applyAlignment="1" applyProtection="1">
      <alignment horizontal="left"/>
      <protection locked="0"/>
    </xf>
    <xf numFmtId="0" fontId="23" fillId="46" borderId="24" xfId="0" applyNumberFormat="1" applyFont="1" applyFill="1" applyBorder="1" applyAlignment="1" applyProtection="1">
      <protection locked="0"/>
    </xf>
    <xf numFmtId="0" fontId="23" fillId="46" borderId="24" xfId="0" applyNumberFormat="1" applyFont="1" applyFill="1" applyBorder="1" applyAlignment="1" applyProtection="1">
      <alignment horizontal="center"/>
      <protection locked="0"/>
    </xf>
    <xf numFmtId="1" fontId="23" fillId="46" borderId="24" xfId="0" applyNumberFormat="1" applyFont="1" applyFill="1" applyBorder="1" applyAlignment="1" applyProtection="1">
      <alignment horizontal="center"/>
      <protection locked="0"/>
    </xf>
    <xf numFmtId="14" fontId="23" fillId="46" borderId="24" xfId="0" applyNumberFormat="1" applyFont="1" applyFill="1" applyBorder="1" applyAlignment="1" applyProtection="1">
      <alignment horizontal="center"/>
      <protection locked="0"/>
    </xf>
    <xf numFmtId="0" fontId="22" fillId="0" borderId="24" xfId="0" applyNumberFormat="1" applyFont="1" applyFill="1" applyBorder="1" applyAlignment="1" applyProtection="1">
      <alignment horizontal="left"/>
      <protection locked="0"/>
    </xf>
    <xf numFmtId="0" fontId="22" fillId="0" borderId="24" xfId="0" applyNumberFormat="1" applyFont="1" applyFill="1" applyBorder="1" applyAlignment="1" applyProtection="1">
      <protection locked="0"/>
    </xf>
    <xf numFmtId="0" fontId="23" fillId="0" borderId="24" xfId="0" applyNumberFormat="1" applyFont="1" applyFill="1" applyBorder="1" applyAlignment="1" applyProtection="1">
      <alignment horizontal="center"/>
      <protection locked="0"/>
    </xf>
    <xf numFmtId="1" fontId="23" fillId="0" borderId="24" xfId="0" applyNumberFormat="1" applyFont="1" applyFill="1" applyBorder="1" applyAlignment="1" applyProtection="1">
      <alignment horizontal="center"/>
      <protection locked="0"/>
    </xf>
    <xf numFmtId="38" fontId="23" fillId="0" borderId="24" xfId="0" applyNumberFormat="1" applyFont="1" applyFill="1" applyBorder="1" applyAlignment="1" applyProtection="1">
      <protection locked="0"/>
    </xf>
    <xf numFmtId="0" fontId="23" fillId="0" borderId="24" xfId="0" applyNumberFormat="1" applyFont="1" applyFill="1" applyBorder="1" applyAlignment="1" applyProtection="1">
      <alignment horizontal="left"/>
      <protection locked="0"/>
    </xf>
    <xf numFmtId="3" fontId="22" fillId="0" borderId="24" xfId="0" applyNumberFormat="1" applyFont="1" applyFill="1" applyBorder="1" applyAlignment="1" applyProtection="1">
      <protection locked="0"/>
    </xf>
    <xf numFmtId="38" fontId="22" fillId="0" borderId="24" xfId="0" applyNumberFormat="1" applyFont="1" applyFill="1" applyBorder="1" applyAlignment="1" applyProtection="1">
      <protection locked="0"/>
    </xf>
    <xf numFmtId="0" fontId="28" fillId="0" borderId="24" xfId="0" applyNumberFormat="1" applyFont="1" applyFill="1" applyBorder="1" applyAlignment="1" applyProtection="1">
      <protection locked="0"/>
    </xf>
    <xf numFmtId="3" fontId="28" fillId="0" borderId="24" xfId="0" applyNumberFormat="1" applyFont="1" applyFill="1" applyBorder="1" applyAlignment="1" applyProtection="1">
      <alignment horizontal="right"/>
      <protection locked="0"/>
    </xf>
    <xf numFmtId="1" fontId="28" fillId="0" borderId="24" xfId="0" applyNumberFormat="1" applyFont="1" applyFill="1" applyBorder="1" applyAlignment="1" applyProtection="1">
      <alignment horizontal="right"/>
      <protection locked="0"/>
    </xf>
    <xf numFmtId="38" fontId="28" fillId="0" borderId="24" xfId="0" applyNumberFormat="1" applyFont="1" applyFill="1" applyBorder="1" applyAlignment="1" applyProtection="1">
      <alignment horizontal="right"/>
      <protection locked="0"/>
    </xf>
    <xf numFmtId="3" fontId="28" fillId="0" borderId="24" xfId="0" applyNumberFormat="1" applyFont="1" applyFill="1" applyBorder="1" applyAlignment="1" applyProtection="1">
      <protection locked="0"/>
    </xf>
    <xf numFmtId="1" fontId="28" fillId="0" borderId="24" xfId="0" applyNumberFormat="1" applyFont="1" applyFill="1" applyBorder="1" applyAlignment="1" applyProtection="1">
      <protection locked="0"/>
    </xf>
    <xf numFmtId="38" fontId="28" fillId="0" borderId="24" xfId="0" applyNumberFormat="1" applyFont="1" applyFill="1" applyBorder="1" applyAlignment="1" applyProtection="1">
      <protection locked="0"/>
    </xf>
    <xf numFmtId="1" fontId="22" fillId="0" borderId="24" xfId="0" applyNumberFormat="1" applyFont="1" applyFill="1" applyBorder="1" applyAlignment="1" applyProtection="1">
      <alignment horizontal="left"/>
      <protection locked="0"/>
    </xf>
    <xf numFmtId="0" fontId="23" fillId="46" borderId="24" xfId="0" applyNumberFormat="1" applyFont="1" applyFill="1" applyBorder="1" applyAlignment="1" applyProtection="1">
      <alignment horizontal="left"/>
      <protection locked="0"/>
    </xf>
    <xf numFmtId="0" fontId="23" fillId="52" borderId="24" xfId="0" applyNumberFormat="1" applyFont="1" applyFill="1" applyBorder="1" applyAlignment="1" applyProtection="1">
      <alignment horizontal="left"/>
      <protection locked="0"/>
    </xf>
    <xf numFmtId="3" fontId="23" fillId="0" borderId="24" xfId="0" applyNumberFormat="1" applyFont="1" applyFill="1" applyBorder="1" applyAlignment="1" applyProtection="1">
      <alignment horizontal="center"/>
      <protection locked="0"/>
    </xf>
    <xf numFmtId="0" fontId="30" fillId="0" borderId="24" xfId="0" applyNumberFormat="1" applyFont="1" applyFill="1" applyBorder="1" applyAlignment="1" applyProtection="1">
      <protection locked="0"/>
    </xf>
    <xf numFmtId="1" fontId="1" fillId="0" borderId="24" xfId="0" applyNumberFormat="1" applyFont="1" applyFill="1" applyBorder="1" applyAlignment="1" applyProtection="1">
      <protection locked="0"/>
    </xf>
    <xf numFmtId="1" fontId="28" fillId="0" borderId="24" xfId="0" applyNumberFormat="1" applyFont="1" applyFill="1" applyBorder="1" applyAlignment="1" applyProtection="1">
      <alignment horizontal="left"/>
      <protection locked="0"/>
    </xf>
    <xf numFmtId="1" fontId="23" fillId="51" borderId="24" xfId="0" applyNumberFormat="1" applyFont="1" applyFill="1" applyBorder="1" applyAlignment="1" applyProtection="1">
      <alignment horizontal="left"/>
      <protection locked="0"/>
    </xf>
    <xf numFmtId="0" fontId="28" fillId="0" borderId="24" xfId="0" applyNumberFormat="1" applyFont="1" applyFill="1" applyBorder="1" applyAlignment="1" applyProtection="1">
      <alignment horizontal="left"/>
      <protection locked="0"/>
    </xf>
    <xf numFmtId="1" fontId="23" fillId="46" borderId="24" xfId="0" applyNumberFormat="1" applyFont="1" applyFill="1" applyBorder="1" applyAlignment="1" applyProtection="1">
      <alignment horizontal="left"/>
      <protection locked="0"/>
    </xf>
    <xf numFmtId="1" fontId="45" fillId="0" borderId="24" xfId="0" applyNumberFormat="1" applyFont="1" applyFill="1" applyBorder="1" applyAlignment="1" applyProtection="1">
      <alignment horizontal="left"/>
      <protection locked="0"/>
    </xf>
    <xf numFmtId="10" fontId="22" fillId="0" borderId="24" xfId="0" applyNumberFormat="1" applyFont="1" applyFill="1" applyBorder="1" applyAlignment="1" applyProtection="1">
      <protection locked="0"/>
    </xf>
    <xf numFmtId="0" fontId="23" fillId="51" borderId="24" xfId="0" applyNumberFormat="1" applyFont="1" applyFill="1" applyBorder="1" applyAlignment="1" applyProtection="1">
      <protection locked="0"/>
    </xf>
    <xf numFmtId="1" fontId="23" fillId="52" borderId="24" xfId="0" applyNumberFormat="1" applyFont="1" applyFill="1" applyBorder="1" applyAlignment="1" applyProtection="1">
      <alignment horizontal="left"/>
      <protection locked="0"/>
    </xf>
    <xf numFmtId="0" fontId="23" fillId="52" borderId="24" xfId="0" applyNumberFormat="1" applyFont="1" applyFill="1" applyBorder="1" applyAlignment="1" applyProtection="1">
      <protection locked="0"/>
    </xf>
    <xf numFmtId="0" fontId="68" fillId="0" borderId="24" xfId="0" applyNumberFormat="1" applyFont="1" applyFill="1" applyBorder="1" applyAlignment="1" applyProtection="1">
      <alignment horizontal="left" vertical="top"/>
      <protection locked="0"/>
    </xf>
    <xf numFmtId="0" fontId="68" fillId="0" borderId="24" xfId="0" applyFont="1" applyFill="1" applyBorder="1" applyAlignment="1" applyProtection="1">
      <alignment horizontal="left" vertical="top"/>
      <protection locked="0"/>
    </xf>
    <xf numFmtId="0" fontId="46" fillId="0" borderId="24" xfId="0" applyNumberFormat="1" applyFont="1" applyFill="1" applyBorder="1" applyAlignment="1" applyProtection="1">
      <protection locked="0"/>
    </xf>
    <xf numFmtId="0" fontId="69" fillId="0" borderId="24" xfId="0" applyNumberFormat="1" applyFont="1" applyFill="1" applyBorder="1" applyAlignment="1" applyProtection="1">
      <alignment horizontal="left" vertical="top"/>
      <protection locked="0"/>
    </xf>
    <xf numFmtId="0" fontId="22" fillId="0" borderId="24" xfId="0" applyNumberFormat="1" applyFont="1" applyFill="1" applyBorder="1" applyAlignment="1" applyProtection="1">
      <alignment horizontal="left" vertical="top"/>
      <protection locked="0"/>
    </xf>
    <xf numFmtId="1" fontId="22" fillId="0" borderId="24" xfId="0" applyNumberFormat="1" applyFont="1" applyFill="1" applyBorder="1" applyAlignment="1" applyProtection="1">
      <alignment horizontal="right"/>
      <protection locked="0"/>
    </xf>
    <xf numFmtId="38" fontId="22" fillId="0" borderId="24" xfId="0" applyNumberFormat="1" applyFont="1" applyFill="1" applyBorder="1" applyAlignment="1" applyProtection="1">
      <alignment horizontal="right"/>
      <protection locked="0"/>
    </xf>
    <xf numFmtId="1" fontId="30" fillId="0" borderId="24" xfId="0" applyNumberFormat="1" applyFont="1" applyFill="1" applyBorder="1" applyAlignment="1" applyProtection="1">
      <alignment horizontal="left"/>
      <protection locked="0"/>
    </xf>
    <xf numFmtId="164" fontId="28" fillId="0" borderId="24" xfId="0" applyNumberFormat="1" applyFont="1" applyFill="1" applyBorder="1" applyAlignment="1" applyProtection="1">
      <alignment horizontal="right"/>
      <protection locked="0"/>
    </xf>
    <xf numFmtId="3" fontId="22" fillId="0" borderId="24" xfId="0" applyNumberFormat="1" applyFont="1" applyFill="1" applyBorder="1" applyProtection="1">
      <protection locked="0"/>
    </xf>
    <xf numFmtId="3" fontId="28" fillId="0" borderId="24" xfId="0" applyNumberFormat="1" applyFont="1" applyFill="1" applyBorder="1" applyProtection="1">
      <protection locked="0"/>
    </xf>
    <xf numFmtId="38" fontId="23" fillId="0" borderId="24" xfId="0" applyNumberFormat="1" applyFont="1" applyFill="1" applyBorder="1" applyAlignment="1" applyProtection="1">
      <alignment horizontal="right"/>
      <protection locked="0"/>
    </xf>
    <xf numFmtId="14" fontId="23" fillId="0" borderId="24" xfId="0" applyNumberFormat="1" applyFont="1" applyFill="1" applyBorder="1" applyAlignment="1" applyProtection="1">
      <alignment horizontal="left"/>
      <protection locked="0"/>
    </xf>
    <xf numFmtId="1" fontId="35" fillId="0" borderId="24" xfId="0" applyNumberFormat="1" applyFont="1" applyFill="1" applyBorder="1" applyAlignment="1" applyProtection="1">
      <alignment horizontal="right"/>
      <protection locked="0"/>
    </xf>
    <xf numFmtId="3" fontId="35" fillId="0" borderId="24" xfId="0" applyNumberFormat="1" applyFont="1" applyFill="1" applyBorder="1" applyAlignment="1" applyProtection="1">
      <alignment horizontal="right"/>
      <protection locked="0"/>
    </xf>
    <xf numFmtId="0" fontId="35" fillId="0" borderId="24" xfId="0" applyNumberFormat="1" applyFont="1" applyFill="1" applyBorder="1" applyAlignment="1" applyProtection="1">
      <alignment horizontal="left"/>
      <protection locked="0"/>
    </xf>
    <xf numFmtId="0" fontId="39" fillId="0" borderId="24" xfId="0" applyNumberFormat="1" applyFont="1" applyFill="1" applyBorder="1" applyAlignment="1" applyProtection="1">
      <protection locked="0"/>
    </xf>
    <xf numFmtId="0" fontId="0" fillId="0" borderId="24" xfId="0" applyBorder="1"/>
    <xf numFmtId="49" fontId="23" fillId="0" borderId="24" xfId="0" applyNumberFormat="1" applyFont="1" applyFill="1" applyBorder="1" applyAlignment="1" applyProtection="1">
      <alignment horizontal="left"/>
      <protection locked="0"/>
    </xf>
    <xf numFmtId="0" fontId="23" fillId="24" borderId="24" xfId="0" applyNumberFormat="1" applyFont="1" applyFill="1" applyBorder="1" applyAlignment="1" applyProtection="1">
      <protection locked="0"/>
    </xf>
    <xf numFmtId="1" fontId="23" fillId="24" borderId="24" xfId="0" applyNumberFormat="1" applyFont="1" applyFill="1" applyBorder="1" applyAlignment="1" applyProtection="1">
      <alignment horizontal="center"/>
      <protection locked="0"/>
    </xf>
    <xf numFmtId="3" fontId="23" fillId="24" borderId="24" xfId="0" applyNumberFormat="1" applyFont="1" applyFill="1" applyBorder="1" applyAlignment="1" applyProtection="1">
      <alignment horizontal="center"/>
      <protection locked="0"/>
    </xf>
    <xf numFmtId="3" fontId="23" fillId="25" borderId="24" xfId="0" applyNumberFormat="1" applyFont="1" applyFill="1" applyBorder="1" applyAlignment="1" applyProtection="1">
      <alignment horizontal="center"/>
      <protection locked="0"/>
    </xf>
    <xf numFmtId="0" fontId="23" fillId="25" borderId="24" xfId="0" applyNumberFormat="1" applyFont="1" applyFill="1" applyBorder="1" applyAlignment="1" applyProtection="1">
      <protection locked="0"/>
    </xf>
    <xf numFmtId="0" fontId="23" fillId="25" borderId="24" xfId="0" applyNumberFormat="1" applyFont="1" applyFill="1" applyBorder="1" applyAlignment="1" applyProtection="1">
      <alignment horizontal="center"/>
      <protection locked="0"/>
    </xf>
    <xf numFmtId="1" fontId="23" fillId="25" borderId="24" xfId="0" applyNumberFormat="1" applyFont="1" applyFill="1" applyBorder="1" applyAlignment="1" applyProtection="1">
      <alignment horizontal="center"/>
      <protection locked="0"/>
    </xf>
    <xf numFmtId="0" fontId="23" fillId="24" borderId="24" xfId="0" applyNumberFormat="1" applyFont="1" applyFill="1" applyBorder="1" applyAlignment="1" applyProtection="1">
      <alignment horizontal="center"/>
      <protection locked="0"/>
    </xf>
    <xf numFmtId="0" fontId="21" fillId="0" borderId="24" xfId="0" applyNumberFormat="1" applyFont="1" applyFill="1" applyBorder="1" applyAlignment="1" applyProtection="1">
      <alignment horizontal="right"/>
      <protection locked="0"/>
    </xf>
    <xf numFmtId="0" fontId="21" fillId="0" borderId="24" xfId="0" applyNumberFormat="1" applyFont="1" applyFill="1" applyBorder="1" applyAlignment="1" applyProtection="1">
      <alignment horizontal="left"/>
      <protection locked="0"/>
    </xf>
    <xf numFmtId="14" fontId="23" fillId="25" borderId="24" xfId="0" applyNumberFormat="1" applyFont="1" applyFill="1" applyBorder="1" applyAlignment="1" applyProtection="1">
      <alignment horizontal="center"/>
      <protection locked="0"/>
    </xf>
    <xf numFmtId="14" fontId="23" fillId="24" borderId="24" xfId="0" applyNumberFormat="1" applyFont="1" applyFill="1" applyBorder="1" applyAlignment="1" applyProtection="1">
      <alignment horizontal="center"/>
      <protection locked="0"/>
    </xf>
    <xf numFmtId="165" fontId="21" fillId="0" borderId="24" xfId="0" applyNumberFormat="1" applyFont="1" applyFill="1" applyBorder="1" applyAlignment="1" applyProtection="1">
      <alignment horizontal="right"/>
      <protection locked="0"/>
    </xf>
    <xf numFmtId="2" fontId="20" fillId="0" borderId="24" xfId="0" applyNumberFormat="1" applyFont="1" applyFill="1" applyBorder="1" applyAlignment="1" applyProtection="1">
      <protection locked="0"/>
    </xf>
    <xf numFmtId="0" fontId="20" fillId="0" borderId="24" xfId="0" applyNumberFormat="1" applyFont="1" applyFill="1" applyBorder="1" applyAlignment="1" applyProtection="1">
      <protection locked="0"/>
    </xf>
    <xf numFmtId="9" fontId="22" fillId="0" borderId="24" xfId="0" applyNumberFormat="1" applyFont="1" applyFill="1" applyBorder="1" applyAlignment="1" applyProtection="1">
      <protection locked="0"/>
    </xf>
    <xf numFmtId="1" fontId="0" fillId="0" borderId="24" xfId="0" applyNumberFormat="1" applyBorder="1"/>
    <xf numFmtId="0" fontId="50" fillId="0" borderId="24" xfId="0" applyFont="1" applyBorder="1"/>
    <xf numFmtId="1" fontId="22" fillId="0" borderId="24" xfId="44" applyNumberFormat="1" applyFont="1" applyFill="1" applyBorder="1" applyAlignment="1" applyProtection="1">
      <alignment horizontal="left"/>
      <protection locked="0"/>
    </xf>
    <xf numFmtId="0" fontId="22" fillId="0" borderId="24" xfId="44" applyNumberFormat="1" applyFont="1" applyFill="1" applyBorder="1" applyAlignment="1" applyProtection="1">
      <protection locked="0"/>
    </xf>
    <xf numFmtId="3" fontId="22" fillId="0" borderId="24" xfId="44" applyNumberFormat="1" applyFont="1" applyFill="1" applyBorder="1" applyProtection="1">
      <protection locked="0"/>
    </xf>
    <xf numFmtId="1" fontId="22" fillId="0" borderId="24" xfId="0" applyNumberFormat="1" applyFont="1" applyFill="1" applyBorder="1" applyProtection="1">
      <protection locked="0"/>
    </xf>
    <xf numFmtId="0" fontId="24" fillId="0" borderId="24" xfId="0" applyFont="1" applyFill="1" applyBorder="1" applyProtection="1">
      <protection locked="0"/>
    </xf>
    <xf numFmtId="0" fontId="0" fillId="0" borderId="24" xfId="0" applyFill="1" applyBorder="1" applyProtection="1">
      <protection locked="0"/>
    </xf>
    <xf numFmtId="3" fontId="50" fillId="0" borderId="24" xfId="0" applyNumberFormat="1" applyFont="1" applyBorder="1"/>
    <xf numFmtId="0" fontId="21" fillId="0" borderId="24" xfId="0" applyNumberFormat="1" applyFont="1" applyFill="1" applyBorder="1" applyAlignment="1" applyProtection="1">
      <protection locked="0"/>
    </xf>
    <xf numFmtId="165" fontId="21" fillId="0" borderId="24" xfId="0" applyNumberFormat="1" applyFont="1" applyFill="1" applyBorder="1" applyAlignment="1" applyProtection="1">
      <alignment horizontal="left"/>
      <protection locked="0"/>
    </xf>
    <xf numFmtId="165" fontId="21" fillId="0" borderId="24" xfId="0" applyNumberFormat="1" applyFont="1" applyFill="1" applyBorder="1" applyAlignment="1" applyProtection="1">
      <protection locked="0"/>
    </xf>
    <xf numFmtId="165" fontId="20" fillId="0" borderId="24" xfId="0" applyNumberFormat="1" applyFont="1" applyFill="1" applyBorder="1" applyAlignment="1" applyProtection="1">
      <protection locked="0"/>
    </xf>
    <xf numFmtId="4" fontId="20" fillId="0" borderId="24" xfId="0" applyNumberFormat="1" applyFont="1" applyFill="1" applyBorder="1" applyAlignment="1" applyProtection="1">
      <protection locked="0"/>
    </xf>
    <xf numFmtId="5" fontId="20" fillId="0" borderId="24" xfId="0" applyNumberFormat="1" applyFont="1" applyFill="1" applyBorder="1" applyAlignment="1" applyProtection="1">
      <protection locked="0"/>
    </xf>
    <xf numFmtId="3" fontId="24" fillId="0" borderId="24" xfId="0" applyNumberFormat="1" applyFont="1" applyFill="1" applyBorder="1" applyAlignment="1" applyProtection="1">
      <protection locked="0"/>
    </xf>
    <xf numFmtId="44" fontId="20" fillId="0" borderId="24" xfId="0" applyNumberFormat="1" applyFont="1" applyFill="1" applyBorder="1" applyAlignment="1" applyProtection="1">
      <protection locked="0"/>
    </xf>
    <xf numFmtId="0" fontId="21" fillId="0" borderId="24" xfId="0" applyNumberFormat="1" applyFont="1" applyFill="1" applyBorder="1" applyAlignment="1" applyProtection="1">
      <alignment horizontal="center"/>
      <protection locked="0"/>
    </xf>
    <xf numFmtId="166" fontId="21" fillId="0" borderId="24" xfId="0" applyNumberFormat="1" applyFont="1" applyFill="1" applyBorder="1" applyAlignment="1" applyProtection="1">
      <alignment horizontal="right"/>
      <protection locked="0"/>
    </xf>
    <xf numFmtId="3" fontId="20" fillId="0" borderId="24" xfId="0" applyNumberFormat="1" applyFont="1" applyFill="1" applyBorder="1" applyAlignment="1" applyProtection="1">
      <protection locked="0"/>
    </xf>
    <xf numFmtId="166" fontId="20" fillId="0" borderId="24" xfId="0" applyNumberFormat="1" applyFont="1" applyFill="1" applyBorder="1" applyAlignment="1" applyProtection="1">
      <protection locked="0"/>
    </xf>
    <xf numFmtId="166" fontId="61" fillId="0" borderId="24" xfId="0" applyNumberFormat="1" applyFont="1" applyFill="1" applyBorder="1" applyAlignment="1" applyProtection="1">
      <alignment horizontal="right"/>
      <protection locked="0"/>
    </xf>
    <xf numFmtId="167" fontId="21" fillId="0" borderId="24" xfId="0" applyNumberFormat="1" applyFont="1" applyFill="1" applyBorder="1" applyAlignment="1" applyProtection="1">
      <protection locked="0"/>
    </xf>
    <xf numFmtId="166" fontId="21" fillId="0" borderId="24" xfId="0" applyNumberFormat="1" applyFont="1" applyFill="1" applyBorder="1" applyAlignment="1" applyProtection="1">
      <protection locked="0"/>
    </xf>
    <xf numFmtId="3" fontId="21" fillId="0" borderId="24" xfId="0" applyNumberFormat="1" applyFont="1" applyFill="1" applyBorder="1" applyAlignment="1" applyProtection="1">
      <protection locked="0"/>
    </xf>
    <xf numFmtId="9" fontId="1" fillId="0" borderId="24" xfId="0" applyNumberFormat="1" applyFont="1" applyFill="1" applyBorder="1" applyAlignment="1" applyProtection="1">
      <protection locked="0"/>
    </xf>
    <xf numFmtId="0" fontId="62" fillId="0" borderId="24" xfId="0" applyNumberFormat="1" applyFont="1" applyFill="1" applyBorder="1" applyAlignment="1" applyProtection="1">
      <protection locked="0"/>
    </xf>
    <xf numFmtId="44" fontId="22" fillId="0" borderId="24" xfId="0" applyNumberFormat="1" applyFont="1" applyFill="1" applyBorder="1" applyAlignment="1" applyProtection="1">
      <protection locked="0"/>
    </xf>
    <xf numFmtId="0" fontId="24" fillId="0" borderId="24" xfId="0" applyNumberFormat="1" applyFont="1" applyFill="1" applyBorder="1" applyAlignment="1" applyProtection="1"/>
    <xf numFmtId="3" fontId="21" fillId="0" borderId="24" xfId="0" applyNumberFormat="1" applyFont="1" applyFill="1" applyBorder="1" applyAlignment="1" applyProtection="1">
      <alignment horizontal="left"/>
      <protection locked="0"/>
    </xf>
    <xf numFmtId="0" fontId="20" fillId="0" borderId="24" xfId="0" applyNumberFormat="1" applyFont="1" applyFill="1" applyBorder="1" applyAlignment="1" applyProtection="1">
      <alignment horizontal="left"/>
      <protection locked="0"/>
    </xf>
    <xf numFmtId="171" fontId="23" fillId="0" borderId="24" xfId="0" applyNumberFormat="1" applyFont="1" applyFill="1" applyBorder="1" applyAlignment="1" applyProtection="1">
      <protection locked="0"/>
    </xf>
    <xf numFmtId="3" fontId="50" fillId="0" borderId="24" xfId="0" applyNumberFormat="1" applyFont="1" applyFill="1" applyBorder="1"/>
    <xf numFmtId="3" fontId="21" fillId="0" borderId="24" xfId="0" applyNumberFormat="1" applyFont="1" applyFill="1" applyBorder="1" applyAlignment="1" applyProtection="1">
      <alignment horizontal="right"/>
      <protection locked="0"/>
    </xf>
    <xf numFmtId="1" fontId="23" fillId="0" borderId="24" xfId="0" applyNumberFormat="1" applyFont="1" applyFill="1" applyBorder="1" applyAlignment="1" applyProtection="1">
      <alignment horizontal="right"/>
      <protection locked="0"/>
    </xf>
    <xf numFmtId="3" fontId="49" fillId="0" borderId="24" xfId="0" applyNumberFormat="1" applyFont="1" applyFill="1" applyBorder="1"/>
    <xf numFmtId="44" fontId="21" fillId="0" borderId="24" xfId="0" applyNumberFormat="1" applyFont="1" applyFill="1" applyBorder="1" applyAlignment="1" applyProtection="1">
      <protection locked="0"/>
    </xf>
    <xf numFmtId="1" fontId="23" fillId="27" borderId="24" xfId="0" applyNumberFormat="1" applyFont="1" applyFill="1" applyBorder="1" applyAlignment="1" applyProtection="1">
      <alignment horizontal="center"/>
      <protection locked="0"/>
    </xf>
    <xf numFmtId="14" fontId="23" fillId="27" borderId="24" xfId="0" applyNumberFormat="1" applyFont="1" applyFill="1" applyBorder="1" applyAlignment="1" applyProtection="1">
      <alignment horizontal="center"/>
      <protection locked="0"/>
    </xf>
    <xf numFmtId="0" fontId="35" fillId="0" borderId="24" xfId="0" applyNumberFormat="1" applyFont="1" applyFill="1" applyBorder="1" applyAlignment="1" applyProtection="1">
      <protection locked="0"/>
    </xf>
    <xf numFmtId="3" fontId="22" fillId="0" borderId="24" xfId="0" applyNumberFormat="1" applyFont="1" applyFill="1" applyBorder="1" applyAlignment="1" applyProtection="1"/>
    <xf numFmtId="169" fontId="21" fillId="0" borderId="24" xfId="0" applyNumberFormat="1" applyFont="1" applyFill="1" applyBorder="1" applyAlignment="1" applyProtection="1">
      <protection locked="0"/>
    </xf>
    <xf numFmtId="168" fontId="21" fillId="0" borderId="24" xfId="0" applyNumberFormat="1" applyFont="1" applyFill="1" applyBorder="1" applyAlignment="1" applyProtection="1">
      <protection locked="0"/>
    </xf>
    <xf numFmtId="3" fontId="49" fillId="0" borderId="24" xfId="0" applyNumberFormat="1" applyFont="1" applyBorder="1"/>
    <xf numFmtId="10" fontId="23" fillId="0" borderId="24" xfId="0" applyNumberFormat="1" applyFont="1" applyFill="1" applyBorder="1" applyAlignment="1" applyProtection="1">
      <protection locked="0"/>
    </xf>
    <xf numFmtId="38" fontId="24" fillId="0" borderId="24" xfId="0" applyNumberFormat="1" applyFont="1" applyFill="1" applyBorder="1" applyAlignment="1" applyProtection="1">
      <protection locked="0"/>
    </xf>
    <xf numFmtId="1" fontId="23" fillId="25" borderId="24" xfId="0" applyNumberFormat="1" applyFont="1" applyFill="1" applyBorder="1" applyAlignment="1" applyProtection="1">
      <alignment horizontal="left"/>
      <protection locked="0"/>
    </xf>
    <xf numFmtId="1" fontId="23" fillId="27" borderId="24" xfId="0" applyNumberFormat="1" applyFont="1" applyFill="1" applyBorder="1" applyAlignment="1" applyProtection="1">
      <alignment horizontal="left"/>
      <protection locked="0"/>
    </xf>
    <xf numFmtId="0" fontId="23" fillId="27" borderId="24" xfId="0" applyNumberFormat="1" applyFont="1" applyFill="1" applyBorder="1" applyAlignment="1" applyProtection="1">
      <protection locked="0"/>
    </xf>
    <xf numFmtId="3" fontId="1" fillId="0" borderId="24" xfId="0" applyNumberFormat="1" applyFont="1" applyFill="1" applyBorder="1" applyAlignment="1" applyProtection="1">
      <protection locked="0"/>
    </xf>
    <xf numFmtId="4" fontId="21" fillId="0" borderId="24" xfId="0" applyNumberFormat="1" applyFont="1" applyFill="1" applyBorder="1" applyAlignment="1" applyProtection="1">
      <protection locked="0"/>
    </xf>
    <xf numFmtId="0" fontId="2" fillId="0" borderId="24" xfId="0" applyNumberFormat="1" applyFont="1" applyFill="1" applyBorder="1" applyAlignment="1" applyProtection="1">
      <protection locked="0"/>
    </xf>
    <xf numFmtId="2" fontId="21" fillId="0" borderId="24" xfId="0" applyNumberFormat="1" applyFont="1" applyFill="1" applyBorder="1" applyAlignment="1" applyProtection="1">
      <protection locked="0"/>
    </xf>
    <xf numFmtId="4" fontId="24" fillId="0" borderId="24" xfId="0" applyNumberFormat="1" applyFont="1" applyFill="1" applyBorder="1" applyAlignment="1" applyProtection="1">
      <protection locked="0"/>
    </xf>
    <xf numFmtId="1" fontId="22" fillId="0" borderId="24" xfId="0" applyNumberFormat="1" applyFont="1" applyFill="1" applyBorder="1" applyAlignment="1" applyProtection="1">
      <alignment horizontal="center"/>
      <protection locked="0"/>
    </xf>
    <xf numFmtId="44" fontId="1" fillId="0" borderId="24" xfId="0" applyNumberFormat="1" applyFont="1" applyFill="1" applyBorder="1" applyAlignment="1" applyProtection="1">
      <protection locked="0"/>
    </xf>
    <xf numFmtId="0" fontId="50" fillId="0" borderId="24" xfId="0" applyFont="1" applyFill="1" applyBorder="1"/>
    <xf numFmtId="3" fontId="62" fillId="0" borderId="24" xfId="0" applyNumberFormat="1" applyFont="1" applyFill="1" applyBorder="1" applyAlignment="1" applyProtection="1">
      <protection locked="0"/>
    </xf>
    <xf numFmtId="3" fontId="30" fillId="0" borderId="24" xfId="0" applyNumberFormat="1" applyFont="1" applyFill="1" applyBorder="1" applyAlignment="1" applyProtection="1">
      <protection locked="0"/>
    </xf>
    <xf numFmtId="0" fontId="57" fillId="0" borderId="24" xfId="0" applyNumberFormat="1" applyFont="1" applyFill="1" applyBorder="1" applyAlignment="1" applyProtection="1">
      <protection locked="0"/>
    </xf>
    <xf numFmtId="0" fontId="29" fillId="0" borderId="24" xfId="0" applyNumberFormat="1" applyFont="1" applyFill="1" applyBorder="1" applyAlignment="1" applyProtection="1">
      <protection locked="0"/>
    </xf>
    <xf numFmtId="0" fontId="49" fillId="0" borderId="24" xfId="0" applyFont="1" applyBorder="1"/>
    <xf numFmtId="0" fontId="43" fillId="0" borderId="24" xfId="0" applyFont="1" applyFill="1" applyBorder="1"/>
    <xf numFmtId="3" fontId="22" fillId="0" borderId="24" xfId="0" applyNumberFormat="1" applyFont="1" applyFill="1" applyBorder="1" applyAlignment="1" applyProtection="1">
      <alignment horizontal="center"/>
      <protection locked="0"/>
    </xf>
    <xf numFmtId="170" fontId="24" fillId="0" borderId="24" xfId="0" applyNumberFormat="1" applyFont="1" applyFill="1" applyBorder="1" applyAlignment="1" applyProtection="1">
      <protection locked="0"/>
    </xf>
    <xf numFmtId="40" fontId="1" fillId="0" borderId="24" xfId="0" applyNumberFormat="1" applyFont="1" applyFill="1" applyBorder="1" applyAlignment="1" applyProtection="1">
      <protection locked="0"/>
    </xf>
    <xf numFmtId="0" fontId="0" fillId="0" borderId="24" xfId="0" applyFont="1" applyFill="1" applyBorder="1"/>
    <xf numFmtId="3" fontId="50" fillId="0" borderId="24" xfId="0" applyNumberFormat="1" applyFont="1" applyBorder="1" applyAlignment="1">
      <alignment horizontal="right"/>
    </xf>
    <xf numFmtId="3" fontId="30" fillId="0" borderId="24" xfId="0" applyNumberFormat="1" applyFont="1" applyFill="1" applyBorder="1" applyAlignment="1" applyProtection="1">
      <alignment horizontal="right"/>
      <protection locked="0"/>
    </xf>
    <xf numFmtId="3" fontId="29" fillId="0" borderId="24" xfId="0" applyNumberFormat="1" applyFont="1" applyFill="1" applyBorder="1" applyAlignment="1" applyProtection="1">
      <protection locked="0"/>
    </xf>
    <xf numFmtId="0" fontId="23" fillId="0" borderId="24" xfId="0" applyNumberFormat="1" applyFont="1" applyFill="1" applyBorder="1" applyAlignment="1" applyProtection="1"/>
    <xf numFmtId="1" fontId="50" fillId="0" borderId="24" xfId="0" applyNumberFormat="1" applyFont="1" applyBorder="1"/>
    <xf numFmtId="10" fontId="40" fillId="0" borderId="24" xfId="0" applyNumberFormat="1" applyFont="1" applyFill="1" applyBorder="1" applyAlignment="1" applyProtection="1">
      <protection locked="0"/>
    </xf>
    <xf numFmtId="0" fontId="41" fillId="0" borderId="24" xfId="0" applyNumberFormat="1" applyFont="1" applyFill="1" applyBorder="1" applyAlignment="1" applyProtection="1">
      <protection locked="0"/>
    </xf>
    <xf numFmtId="3" fontId="40" fillId="0" borderId="24" xfId="0" applyNumberFormat="1" applyFont="1" applyFill="1" applyBorder="1" applyAlignment="1" applyProtection="1">
      <protection locked="0"/>
    </xf>
    <xf numFmtId="3" fontId="41" fillId="0" borderId="24" xfId="0" applyNumberFormat="1" applyFont="1" applyFill="1" applyBorder="1" applyAlignment="1" applyProtection="1">
      <protection locked="0"/>
    </xf>
    <xf numFmtId="3" fontId="42" fillId="0" borderId="24" xfId="0" applyNumberFormat="1" applyFont="1" applyFill="1" applyBorder="1" applyAlignment="1" applyProtection="1">
      <protection locked="0"/>
    </xf>
    <xf numFmtId="38" fontId="49" fillId="0" borderId="24" xfId="0" applyNumberFormat="1" applyFont="1" applyBorder="1"/>
    <xf numFmtId="0" fontId="38" fillId="0" borderId="24" xfId="0" applyNumberFormat="1" applyFont="1" applyFill="1" applyBorder="1" applyAlignment="1" applyProtection="1">
      <protection locked="0"/>
    </xf>
    <xf numFmtId="38" fontId="62" fillId="0" borderId="24" xfId="0" applyNumberFormat="1" applyFont="1" applyFill="1" applyBorder="1" applyAlignment="1" applyProtection="1">
      <protection locked="0"/>
    </xf>
    <xf numFmtId="49" fontId="23" fillId="25" borderId="24" xfId="0" applyNumberFormat="1" applyFont="1" applyFill="1" applyBorder="1" applyAlignment="1" applyProtection="1">
      <alignment horizontal="left"/>
      <protection locked="0"/>
    </xf>
    <xf numFmtId="3" fontId="36" fillId="0" borderId="24" xfId="0" applyNumberFormat="1" applyFont="1" applyFill="1" applyBorder="1" applyAlignment="1" applyProtection="1">
      <protection locked="0"/>
    </xf>
    <xf numFmtId="0" fontId="45" fillId="0" borderId="24" xfId="0" applyNumberFormat="1" applyFont="1" applyFill="1" applyBorder="1" applyAlignment="1" applyProtection="1">
      <protection locked="0"/>
    </xf>
    <xf numFmtId="10" fontId="46" fillId="0" borderId="24" xfId="0" applyNumberFormat="1" applyFont="1" applyFill="1" applyBorder="1" applyAlignment="1" applyProtection="1">
      <protection locked="0"/>
    </xf>
    <xf numFmtId="1" fontId="46" fillId="0" borderId="24" xfId="0" applyNumberFormat="1" applyFont="1" applyFill="1" applyBorder="1" applyAlignment="1" applyProtection="1">
      <protection locked="0"/>
    </xf>
    <xf numFmtId="3" fontId="46" fillId="0" borderId="24" xfId="0" applyNumberFormat="1" applyFont="1" applyFill="1" applyBorder="1" applyAlignment="1" applyProtection="1">
      <protection locked="0"/>
    </xf>
    <xf numFmtId="0" fontId="63" fillId="0" borderId="24" xfId="0" applyNumberFormat="1" applyFont="1" applyFill="1" applyBorder="1" applyAlignment="1" applyProtection="1">
      <alignment horizontal="left"/>
      <protection locked="0"/>
    </xf>
    <xf numFmtId="0" fontId="47" fillId="0" borderId="24" xfId="0" applyNumberFormat="1" applyFont="1" applyFill="1" applyBorder="1" applyAlignment="1" applyProtection="1">
      <protection locked="0"/>
    </xf>
    <xf numFmtId="0" fontId="44" fillId="0" borderId="24" xfId="0" applyFont="1" applyFill="1" applyBorder="1"/>
    <xf numFmtId="4" fontId="21" fillId="0" borderId="24" xfId="0" applyNumberFormat="1" applyFont="1" applyFill="1" applyBorder="1" applyAlignment="1" applyProtection="1">
      <alignment horizontal="right"/>
      <protection locked="0"/>
    </xf>
    <xf numFmtId="4" fontId="26" fillId="0" borderId="24" xfId="0" applyNumberFormat="1" applyFont="1" applyFill="1" applyBorder="1" applyAlignment="1" applyProtection="1">
      <alignment horizontal="right"/>
      <protection locked="0"/>
    </xf>
    <xf numFmtId="3" fontId="2" fillId="0" borderId="24" xfId="0" applyNumberFormat="1" applyFont="1" applyFill="1" applyBorder="1" applyAlignment="1" applyProtection="1">
      <protection locked="0"/>
    </xf>
    <xf numFmtId="38" fontId="23" fillId="0" borderId="24" xfId="0" applyNumberFormat="1" applyFont="1" applyFill="1" applyBorder="1" applyAlignment="1" applyProtection="1">
      <alignment horizontal="left"/>
      <protection locked="0"/>
    </xf>
    <xf numFmtId="49" fontId="21" fillId="0" borderId="24" xfId="0" applyNumberFormat="1" applyFont="1" applyFill="1" applyBorder="1" applyAlignment="1" applyProtection="1">
      <alignment horizontal="center"/>
      <protection locked="0"/>
    </xf>
    <xf numFmtId="3" fontId="21" fillId="0" borderId="24" xfId="0" applyNumberFormat="1" applyFont="1" applyFill="1" applyBorder="1" applyAlignment="1" applyProtection="1">
      <alignment horizontal="center"/>
      <protection locked="0"/>
    </xf>
    <xf numFmtId="38" fontId="21" fillId="0" borderId="24" xfId="0" applyNumberFormat="1" applyFont="1" applyFill="1" applyBorder="1" applyAlignment="1" applyProtection="1">
      <protection locked="0"/>
    </xf>
    <xf numFmtId="38" fontId="20" fillId="0" borderId="24" xfId="0" applyNumberFormat="1" applyFont="1" applyFill="1" applyBorder="1" applyAlignment="1" applyProtection="1">
      <protection locked="0"/>
    </xf>
    <xf numFmtId="38" fontId="21" fillId="0" borderId="24" xfId="0" applyNumberFormat="1" applyFont="1" applyFill="1" applyBorder="1" applyAlignment="1" applyProtection="1">
      <alignment horizontal="right"/>
      <protection locked="0"/>
    </xf>
    <xf numFmtId="38" fontId="23" fillId="24" borderId="24" xfId="0" applyNumberFormat="1" applyFont="1" applyFill="1" applyBorder="1" applyAlignment="1" applyProtection="1">
      <protection locked="0"/>
    </xf>
    <xf numFmtId="0" fontId="26" fillId="0" borderId="24" xfId="0" applyNumberFormat="1" applyFont="1" applyFill="1" applyBorder="1" applyAlignment="1" applyProtection="1">
      <alignment horizontal="center"/>
      <protection locked="0"/>
    </xf>
    <xf numFmtId="38" fontId="26" fillId="0" borderId="24" xfId="0" applyNumberFormat="1" applyFont="1" applyFill="1" applyBorder="1" applyAlignment="1" applyProtection="1">
      <alignment horizontal="center"/>
      <protection locked="0"/>
    </xf>
    <xf numFmtId="38" fontId="36" fillId="0" borderId="24" xfId="0" applyNumberFormat="1" applyFont="1" applyFill="1" applyBorder="1" applyAlignment="1" applyProtection="1">
      <protection locked="0"/>
    </xf>
    <xf numFmtId="38" fontId="37" fillId="0" borderId="24" xfId="0" applyNumberFormat="1" applyFont="1" applyFill="1" applyBorder="1" applyAlignment="1" applyProtection="1">
      <protection locked="0"/>
    </xf>
    <xf numFmtId="3" fontId="37" fillId="0" borderId="24" xfId="0" applyNumberFormat="1" applyFont="1" applyFill="1" applyBorder="1" applyAlignment="1" applyProtection="1">
      <protection locked="0"/>
    </xf>
    <xf numFmtId="44" fontId="33" fillId="0" borderId="24" xfId="0" applyNumberFormat="1" applyFont="1" applyFill="1" applyBorder="1" applyAlignment="1" applyProtection="1">
      <protection locked="0"/>
    </xf>
    <xf numFmtId="0" fontId="22" fillId="0" borderId="24" xfId="0" applyNumberFormat="1" applyFont="1" applyFill="1" applyBorder="1" applyAlignment="1" applyProtection="1">
      <alignment horizontal="center"/>
      <protection locked="0"/>
    </xf>
    <xf numFmtId="4" fontId="1" fillId="0" borderId="24" xfId="0" applyNumberFormat="1" applyFont="1" applyFill="1" applyBorder="1" applyAlignment="1" applyProtection="1">
      <protection locked="0"/>
    </xf>
    <xf numFmtId="0" fontId="32" fillId="0" borderId="24" xfId="0" applyNumberFormat="1" applyFont="1" applyFill="1" applyBorder="1" applyAlignment="1" applyProtection="1">
      <protection locked="0"/>
    </xf>
    <xf numFmtId="40" fontId="22" fillId="0" borderId="24" xfId="0" applyNumberFormat="1" applyFont="1" applyFill="1" applyBorder="1" applyAlignment="1" applyProtection="1">
      <protection locked="0"/>
    </xf>
    <xf numFmtId="1" fontId="23" fillId="24" borderId="24" xfId="0" applyNumberFormat="1" applyFont="1" applyFill="1" applyBorder="1" applyAlignment="1" applyProtection="1">
      <alignment horizontal="left"/>
      <protection locked="0"/>
    </xf>
    <xf numFmtId="0" fontId="24" fillId="24" borderId="24" xfId="0" applyNumberFormat="1" applyFont="1" applyFill="1" applyBorder="1" applyAlignment="1" applyProtection="1">
      <protection locked="0"/>
    </xf>
    <xf numFmtId="0" fontId="1" fillId="24" borderId="24" xfId="0" applyNumberFormat="1" applyFont="1" applyFill="1" applyBorder="1" applyAlignment="1" applyProtection="1">
      <protection locked="0"/>
    </xf>
    <xf numFmtId="38" fontId="1" fillId="0" borderId="24" xfId="0" applyNumberFormat="1" applyFont="1" applyFill="1" applyBorder="1" applyAlignment="1" applyProtection="1">
      <protection locked="0"/>
    </xf>
    <xf numFmtId="4" fontId="22" fillId="0" borderId="24" xfId="0" applyNumberFormat="1" applyFont="1" applyFill="1" applyBorder="1" applyAlignment="1" applyProtection="1">
      <protection locked="0"/>
    </xf>
    <xf numFmtId="4" fontId="23" fillId="0" borderId="24" xfId="0" applyNumberFormat="1" applyFont="1" applyFill="1" applyBorder="1" applyAlignment="1" applyProtection="1">
      <protection locked="0"/>
    </xf>
    <xf numFmtId="0" fontId="23" fillId="24" borderId="24" xfId="0" applyNumberFormat="1" applyFont="1" applyFill="1" applyBorder="1" applyAlignment="1" applyProtection="1">
      <alignment horizontal="left"/>
      <protection locked="0"/>
    </xf>
    <xf numFmtId="38" fontId="22" fillId="0" borderId="24" xfId="0" applyNumberFormat="1" applyFont="1" applyFill="1" applyBorder="1" applyAlignment="1" applyProtection="1">
      <alignment horizontal="left"/>
      <protection locked="0"/>
    </xf>
    <xf numFmtId="0" fontId="22" fillId="24" borderId="24" xfId="0" applyNumberFormat="1" applyFont="1" applyFill="1" applyBorder="1" applyAlignment="1" applyProtection="1">
      <alignment horizontal="left"/>
      <protection locked="0"/>
    </xf>
    <xf numFmtId="40" fontId="23" fillId="0" borderId="24" xfId="0" applyNumberFormat="1" applyFont="1" applyFill="1" applyBorder="1" applyAlignment="1" applyProtection="1">
      <alignment horizontal="center"/>
      <protection locked="0"/>
    </xf>
    <xf numFmtId="38" fontId="45" fillId="0" borderId="24" xfId="0" applyNumberFormat="1" applyFont="1" applyFill="1" applyBorder="1" applyAlignment="1" applyProtection="1">
      <protection locked="0"/>
    </xf>
    <xf numFmtId="37" fontId="23" fillId="0" borderId="24" xfId="0" applyNumberFormat="1" applyFont="1" applyFill="1" applyBorder="1" applyAlignment="1" applyProtection="1">
      <protection locked="0"/>
    </xf>
    <xf numFmtId="37" fontId="28" fillId="0" borderId="24" xfId="0" applyNumberFormat="1" applyFont="1" applyFill="1" applyBorder="1" applyAlignment="1" applyProtection="1">
      <protection locked="0"/>
    </xf>
    <xf numFmtId="37" fontId="20" fillId="0" borderId="24" xfId="0" applyNumberFormat="1" applyFont="1" applyFill="1" applyBorder="1" applyAlignment="1" applyProtection="1">
      <protection locked="0"/>
    </xf>
    <xf numFmtId="0" fontId="2" fillId="0" borderId="24" xfId="0" applyNumberFormat="1" applyFont="1" applyFill="1" applyBorder="1" applyAlignment="1" applyProtection="1"/>
    <xf numFmtId="0" fontId="23" fillId="27" borderId="24" xfId="0" applyNumberFormat="1" applyFont="1" applyFill="1" applyBorder="1" applyAlignment="1" applyProtection="1">
      <alignment horizontal="left"/>
      <protection locked="0"/>
    </xf>
    <xf numFmtId="0" fontId="23" fillId="27" borderId="24" xfId="0" applyNumberFormat="1" applyFont="1" applyFill="1" applyBorder="1" applyAlignment="1" applyProtection="1">
      <alignment horizontal="center"/>
      <protection locked="0"/>
    </xf>
    <xf numFmtId="3" fontId="23" fillId="27" borderId="24" xfId="0" applyNumberFormat="1" applyFont="1" applyFill="1" applyBorder="1" applyAlignment="1" applyProtection="1">
      <alignment horizontal="center"/>
      <protection locked="0"/>
    </xf>
    <xf numFmtId="0" fontId="2" fillId="0" borderId="24" xfId="0" applyNumberFormat="1" applyFont="1" applyFill="1" applyBorder="1" applyAlignment="1" applyProtection="1">
      <alignment horizontal="right"/>
      <protection locked="0"/>
    </xf>
    <xf numFmtId="167" fontId="1" fillId="0" borderId="24" xfId="0" applyNumberFormat="1" applyFont="1" applyFill="1" applyBorder="1" applyAlignment="1" applyProtection="1">
      <protection locked="0"/>
    </xf>
    <xf numFmtId="167" fontId="31" fillId="0" borderId="24" xfId="0" applyNumberFormat="1" applyFont="1" applyFill="1" applyBorder="1" applyAlignment="1" applyProtection="1">
      <protection locked="0"/>
    </xf>
    <xf numFmtId="49" fontId="64" fillId="0" borderId="24" xfId="0" applyNumberFormat="1" applyFont="1" applyFill="1" applyBorder="1" applyAlignment="1" applyProtection="1">
      <protection locked="0"/>
    </xf>
    <xf numFmtId="0" fontId="24" fillId="0" borderId="24" xfId="0" applyNumberFormat="1" applyFont="1" applyFill="1" applyBorder="1" applyAlignment="1" applyProtection="1">
      <alignment horizontal="right"/>
      <protection locked="0"/>
    </xf>
    <xf numFmtId="37" fontId="22" fillId="0" borderId="24" xfId="0" applyNumberFormat="1" applyFont="1" applyFill="1" applyBorder="1" applyAlignment="1" applyProtection="1">
      <protection locked="0"/>
    </xf>
    <xf numFmtId="0" fontId="1" fillId="0" borderId="24" xfId="0" applyNumberFormat="1" applyFont="1" applyFill="1" applyBorder="1" applyAlignment="1" applyProtection="1">
      <alignment horizontal="right"/>
      <protection locked="0"/>
    </xf>
    <xf numFmtId="37" fontId="23" fillId="24" borderId="24" xfId="0" applyNumberFormat="1" applyFont="1" applyFill="1" applyBorder="1" applyAlignment="1" applyProtection="1">
      <protection locked="0"/>
    </xf>
    <xf numFmtId="38" fontId="45" fillId="0" borderId="24" xfId="0" applyNumberFormat="1" applyFont="1" applyFill="1" applyBorder="1" applyAlignment="1" applyProtection="1">
      <alignment horizontal="right"/>
      <protection locked="0"/>
    </xf>
    <xf numFmtId="0" fontId="60" fillId="0" borderId="24" xfId="0" applyFont="1" applyFill="1" applyBorder="1"/>
    <xf numFmtId="1" fontId="2" fillId="0" borderId="24" xfId="0" applyNumberFormat="1" applyFont="1" applyFill="1" applyBorder="1" applyAlignment="1" applyProtection="1">
      <protection locked="0"/>
    </xf>
    <xf numFmtId="0" fontId="60" fillId="0" borderId="24" xfId="0" applyFont="1" applyBorder="1"/>
    <xf numFmtId="0" fontId="27" fillId="0" borderId="24" xfId="0" applyNumberFormat="1" applyFont="1" applyFill="1" applyBorder="1" applyAlignment="1" applyProtection="1">
      <protection locked="0"/>
    </xf>
    <xf numFmtId="0" fontId="34" fillId="0" borderId="24" xfId="0" applyNumberFormat="1" applyFont="1" applyFill="1" applyBorder="1" applyAlignment="1" applyProtection="1">
      <protection locked="0"/>
    </xf>
    <xf numFmtId="0" fontId="30" fillId="27" borderId="24" xfId="0" applyNumberFormat="1" applyFont="1" applyFill="1" applyBorder="1" applyAlignment="1" applyProtection="1">
      <protection locked="0"/>
    </xf>
    <xf numFmtId="1" fontId="28" fillId="27" borderId="24" xfId="0" applyNumberFormat="1" applyFont="1" applyFill="1" applyBorder="1" applyAlignment="1" applyProtection="1">
      <alignment horizontal="left"/>
      <protection locked="0"/>
    </xf>
    <xf numFmtId="49" fontId="23" fillId="27" borderId="24" xfId="0" applyNumberFormat="1" applyFont="1" applyFill="1" applyBorder="1" applyAlignment="1" applyProtection="1">
      <alignment horizontal="center"/>
      <protection locked="0"/>
    </xf>
    <xf numFmtId="49" fontId="23" fillId="27" borderId="24" xfId="0" applyNumberFormat="1" applyFont="1" applyFill="1" applyBorder="1" applyAlignment="1" applyProtection="1">
      <alignment horizontal="left"/>
      <protection locked="0"/>
    </xf>
    <xf numFmtId="1" fontId="22" fillId="26" borderId="24" xfId="0" applyNumberFormat="1" applyFont="1" applyFill="1" applyBorder="1" applyAlignment="1" applyProtection="1">
      <protection locked="0"/>
    </xf>
    <xf numFmtId="1" fontId="28" fillId="26" borderId="24" xfId="0" applyNumberFormat="1" applyFont="1" applyFill="1" applyBorder="1" applyAlignment="1" applyProtection="1">
      <protection locked="0"/>
    </xf>
    <xf numFmtId="3" fontId="28" fillId="26" borderId="24" xfId="0" applyNumberFormat="1" applyFont="1" applyFill="1" applyBorder="1" applyAlignment="1" applyProtection="1">
      <protection locked="0"/>
    </xf>
    <xf numFmtId="1" fontId="46" fillId="0" borderId="24" xfId="0" applyNumberFormat="1" applyFont="1" applyFill="1" applyBorder="1" applyAlignment="1" applyProtection="1">
      <alignment horizontal="left"/>
      <protection locked="0"/>
    </xf>
    <xf numFmtId="0" fontId="48" fillId="0" borderId="24" xfId="0" applyNumberFormat="1" applyFont="1" applyFill="1" applyBorder="1" applyAlignment="1" applyProtection="1">
      <protection locked="0"/>
    </xf>
    <xf numFmtId="0" fontId="45" fillId="0" borderId="24" xfId="0" applyNumberFormat="1" applyFont="1" applyFill="1" applyBorder="1" applyAlignment="1" applyProtection="1">
      <alignment horizontal="center"/>
      <protection locked="0"/>
    </xf>
    <xf numFmtId="38" fontId="45" fillId="0" borderId="24" xfId="0" applyNumberFormat="1" applyFont="1" applyFill="1" applyBorder="1" applyAlignment="1" applyProtection="1">
      <alignment horizontal="center"/>
      <protection locked="0"/>
    </xf>
    <xf numFmtId="38" fontId="46" fillId="0" borderId="24" xfId="0" applyNumberFormat="1" applyFont="1" applyFill="1" applyBorder="1" applyAlignment="1" applyProtection="1">
      <protection locked="0"/>
    </xf>
    <xf numFmtId="0" fontId="65" fillId="0" borderId="24" xfId="0" applyNumberFormat="1" applyFont="1" applyFill="1" applyBorder="1" applyAlignment="1" applyProtection="1">
      <protection locked="0"/>
    </xf>
    <xf numFmtId="38" fontId="23" fillId="27" borderId="24" xfId="0" applyNumberFormat="1" applyFont="1" applyFill="1" applyBorder="1" applyAlignment="1" applyProtection="1">
      <alignment horizontal="right"/>
      <protection locked="0"/>
    </xf>
    <xf numFmtId="9" fontId="22" fillId="27" borderId="24" xfId="0" applyNumberFormat="1" applyFont="1" applyFill="1" applyBorder="1" applyAlignment="1" applyProtection="1">
      <protection locked="0"/>
    </xf>
    <xf numFmtId="38" fontId="23" fillId="26" borderId="24" xfId="0" applyNumberFormat="1" applyFont="1" applyFill="1" applyBorder="1" applyAlignment="1" applyProtection="1">
      <protection locked="0"/>
    </xf>
    <xf numFmtId="9" fontId="23" fillId="0" borderId="24" xfId="0" applyNumberFormat="1" applyFont="1" applyFill="1" applyBorder="1" applyAlignment="1" applyProtection="1">
      <alignment horizontal="right"/>
      <protection locked="0"/>
    </xf>
    <xf numFmtId="1" fontId="22" fillId="24" borderId="24" xfId="0" applyNumberFormat="1" applyFont="1" applyFill="1" applyBorder="1" applyAlignment="1" applyProtection="1">
      <protection locked="0"/>
    </xf>
    <xf numFmtId="3" fontId="22" fillId="24" borderId="24" xfId="0" applyNumberFormat="1" applyFont="1" applyFill="1" applyBorder="1" applyAlignment="1" applyProtection="1">
      <protection locked="0"/>
    </xf>
    <xf numFmtId="37" fontId="21" fillId="0" borderId="24" xfId="0" applyNumberFormat="1" applyFont="1" applyFill="1" applyBorder="1" applyAlignment="1" applyProtection="1">
      <alignment horizontal="left"/>
      <protection locked="0"/>
    </xf>
    <xf numFmtId="0" fontId="23" fillId="0" borderId="24" xfId="0" applyNumberFormat="1" applyFont="1" applyFill="1" applyBorder="1" applyAlignment="1" applyProtection="1">
      <alignment wrapText="1"/>
      <protection locked="0"/>
    </xf>
    <xf numFmtId="1" fontId="20" fillId="0" borderId="24" xfId="0" applyNumberFormat="1" applyFont="1" applyFill="1" applyBorder="1" applyAlignment="1" applyProtection="1">
      <protection locked="0"/>
    </xf>
    <xf numFmtId="0" fontId="2" fillId="0" borderId="24" xfId="0" applyNumberFormat="1" applyFont="1" applyFill="1" applyBorder="1" applyAlignment="1" applyProtection="1">
      <alignment horizontal="left"/>
      <protection locked="0"/>
    </xf>
    <xf numFmtId="0" fontId="1" fillId="0" borderId="24" xfId="0" applyNumberFormat="1" applyFont="1" applyFill="1" applyBorder="1" applyAlignment="1" applyProtection="1">
      <alignment horizontal="left"/>
      <protection locked="0"/>
    </xf>
    <xf numFmtId="38" fontId="21" fillId="0" borderId="24" xfId="0" applyNumberFormat="1" applyFont="1" applyFill="1" applyBorder="1" applyAlignment="1" applyProtection="1">
      <alignment horizontal="left"/>
      <protection locked="0"/>
    </xf>
    <xf numFmtId="1" fontId="21" fillId="0" borderId="24" xfId="0" applyNumberFormat="1" applyFont="1" applyFill="1" applyBorder="1" applyAlignment="1" applyProtection="1">
      <alignment horizontal="left"/>
      <protection locked="0"/>
    </xf>
    <xf numFmtId="1" fontId="2" fillId="0" borderId="24" xfId="0" applyNumberFormat="1" applyFont="1" applyFill="1" applyBorder="1" applyAlignment="1" applyProtection="1">
      <alignment horizontal="left"/>
      <protection locked="0"/>
    </xf>
    <xf numFmtId="3" fontId="2" fillId="0" borderId="24" xfId="0" applyNumberFormat="1" applyFont="1" applyFill="1" applyBorder="1" applyAlignment="1" applyProtection="1">
      <alignment horizontal="left"/>
      <protection locked="0"/>
    </xf>
    <xf numFmtId="3" fontId="22" fillId="0" borderId="24" xfId="0" applyNumberFormat="1" applyFont="1" applyFill="1" applyBorder="1" applyAlignment="1" applyProtection="1">
      <alignment horizontal="left"/>
      <protection locked="0"/>
    </xf>
    <xf numFmtId="3" fontId="20" fillId="0" borderId="24" xfId="0" applyNumberFormat="1" applyFont="1" applyFill="1" applyBorder="1" applyAlignment="1" applyProtection="1">
      <alignment horizontal="left"/>
      <protection locked="0"/>
    </xf>
    <xf numFmtId="3" fontId="24" fillId="0" borderId="24" xfId="0" applyNumberFormat="1" applyFont="1" applyFill="1" applyBorder="1" applyAlignment="1" applyProtection="1">
      <alignment horizontal="left"/>
      <protection locked="0"/>
    </xf>
    <xf numFmtId="1" fontId="21" fillId="0" borderId="24" xfId="0" applyNumberFormat="1" applyFont="1" applyFill="1" applyBorder="1" applyAlignment="1" applyProtection="1">
      <protection locked="0"/>
    </xf>
    <xf numFmtId="0" fontId="21" fillId="0" borderId="24" xfId="0" applyNumberFormat="1" applyFont="1" applyFill="1" applyBorder="1" applyAlignment="1" applyProtection="1">
      <alignment horizontal="left" vertical="top" wrapText="1"/>
      <protection locked="0"/>
    </xf>
    <xf numFmtId="38" fontId="68" fillId="0" borderId="24" xfId="48" applyNumberFormat="1" applyFont="1" applyFill="1" applyBorder="1"/>
    <xf numFmtId="0" fontId="22" fillId="0" borderId="24" xfId="0" applyNumberFormat="1" applyFont="1" applyFill="1" applyBorder="1" applyAlignment="1" applyProtection="1">
      <alignment wrapText="1"/>
      <protection locked="0"/>
    </xf>
    <xf numFmtId="0" fontId="70" fillId="0" borderId="24" xfId="0" applyFont="1" applyFill="1" applyBorder="1" applyProtection="1">
      <protection locked="0"/>
    </xf>
    <xf numFmtId="0" fontId="53" fillId="53" borderId="11" xfId="0" applyNumberFormat="1" applyFont="1" applyFill="1" applyBorder="1" applyAlignment="1" applyProtection="1">
      <protection locked="0"/>
    </xf>
    <xf numFmtId="0" fontId="21" fillId="53" borderId="12" xfId="0" applyNumberFormat="1" applyFont="1" applyFill="1" applyBorder="1" applyAlignment="1" applyProtection="1">
      <alignment horizontal="right"/>
      <protection locked="0"/>
    </xf>
    <xf numFmtId="0" fontId="21" fillId="53" borderId="12" xfId="0" applyNumberFormat="1" applyFont="1" applyFill="1" applyBorder="1" applyAlignment="1" applyProtection="1">
      <alignment horizontal="center"/>
      <protection locked="0"/>
    </xf>
    <xf numFmtId="0" fontId="23" fillId="53" borderId="12" xfId="0" applyNumberFormat="1" applyFont="1" applyFill="1" applyBorder="1" applyAlignment="1" applyProtection="1">
      <alignment horizontal="right"/>
      <protection locked="0"/>
    </xf>
    <xf numFmtId="166" fontId="21" fillId="53" borderId="12" xfId="0" applyNumberFormat="1" applyFont="1" applyFill="1" applyBorder="1" applyAlignment="1" applyProtection="1">
      <protection locked="0"/>
    </xf>
    <xf numFmtId="165" fontId="21" fillId="53" borderId="11" xfId="0" applyNumberFormat="1" applyFont="1" applyFill="1" applyBorder="1" applyAlignment="1" applyProtection="1">
      <protection locked="0"/>
    </xf>
    <xf numFmtId="0" fontId="21" fillId="54" borderId="19" xfId="0" applyFont="1" applyFill="1" applyBorder="1" applyProtection="1">
      <protection locked="0"/>
    </xf>
    <xf numFmtId="0" fontId="21" fillId="53" borderId="14" xfId="0" applyNumberFormat="1" applyFont="1" applyFill="1" applyBorder="1" applyAlignment="1" applyProtection="1">
      <protection locked="0"/>
    </xf>
    <xf numFmtId="166" fontId="20" fillId="53" borderId="0" xfId="0" applyNumberFormat="1" applyFont="1" applyFill="1" applyBorder="1" applyAlignment="1" applyProtection="1">
      <alignment horizontal="right"/>
      <protection locked="0"/>
    </xf>
    <xf numFmtId="3" fontId="20" fillId="53" borderId="0" xfId="0" applyNumberFormat="1" applyFont="1" applyFill="1" applyBorder="1" applyAlignment="1" applyProtection="1">
      <protection locked="0"/>
    </xf>
    <xf numFmtId="167" fontId="20" fillId="53" borderId="10" xfId="0" applyNumberFormat="1" applyFont="1" applyFill="1" applyBorder="1" applyAlignment="1" applyProtection="1">
      <protection locked="0"/>
    </xf>
    <xf numFmtId="14" fontId="21" fillId="53" borderId="0" xfId="0" applyNumberFormat="1" applyFont="1" applyFill="1" applyBorder="1" applyAlignment="1" applyProtection="1">
      <protection locked="0"/>
    </xf>
    <xf numFmtId="0" fontId="24" fillId="54" borderId="16" xfId="0" applyFont="1" applyFill="1" applyBorder="1" applyProtection="1">
      <protection locked="0"/>
    </xf>
    <xf numFmtId="0" fontId="21" fillId="53" borderId="18" xfId="0" applyNumberFormat="1" applyFont="1" applyFill="1" applyBorder="1" applyAlignment="1" applyProtection="1">
      <protection locked="0"/>
    </xf>
    <xf numFmtId="0" fontId="29" fillId="54" borderId="0" xfId="0" applyFont="1" applyFill="1" applyBorder="1" applyAlignment="1" applyProtection="1">
      <alignment horizontal="centerContinuous"/>
      <protection locked="0"/>
    </xf>
    <xf numFmtId="0" fontId="2" fillId="54" borderId="0" xfId="0" applyFont="1" applyFill="1" applyBorder="1" applyAlignment="1">
      <alignment horizontal="centerContinuous"/>
    </xf>
    <xf numFmtId="0" fontId="20" fillId="54" borderId="15" xfId="0" applyFont="1" applyFill="1" applyBorder="1" applyAlignment="1" applyProtection="1">
      <alignment horizontal="centerContinuous"/>
      <protection locked="0"/>
    </xf>
    <xf numFmtId="167" fontId="20" fillId="53" borderId="0" xfId="0" applyNumberFormat="1" applyFont="1" applyFill="1" applyBorder="1" applyAlignment="1" applyProtection="1">
      <protection locked="0"/>
    </xf>
    <xf numFmtId="0" fontId="55" fillId="53" borderId="0" xfId="0" applyNumberFormat="1" applyFont="1" applyFill="1" applyBorder="1" applyAlignment="1" applyProtection="1">
      <alignment horizontal="centerContinuous"/>
      <protection locked="0"/>
    </xf>
    <xf numFmtId="0" fontId="20" fillId="53" borderId="0" xfId="0" applyNumberFormat="1" applyFont="1" applyFill="1" applyBorder="1" applyAlignment="1" applyProtection="1">
      <protection locked="0"/>
    </xf>
    <xf numFmtId="0" fontId="20" fillId="54" borderId="15" xfId="0" applyFont="1" applyFill="1" applyBorder="1" applyProtection="1">
      <protection locked="0"/>
    </xf>
    <xf numFmtId="0" fontId="20" fillId="53" borderId="14" xfId="0" applyNumberFormat="1" applyFont="1" applyFill="1" applyBorder="1" applyAlignment="1" applyProtection="1">
      <protection locked="0"/>
    </xf>
    <xf numFmtId="166" fontId="20" fillId="53" borderId="0" xfId="0" applyNumberFormat="1" applyFont="1" applyFill="1" applyBorder="1" applyAlignment="1" applyProtection="1">
      <protection locked="0"/>
    </xf>
    <xf numFmtId="6" fontId="20" fillId="53" borderId="0" xfId="0" applyNumberFormat="1" applyFont="1" applyFill="1" applyBorder="1" applyAlignment="1" applyProtection="1">
      <protection locked="0"/>
    </xf>
    <xf numFmtId="166" fontId="25" fillId="53" borderId="0" xfId="0" applyNumberFormat="1" applyFont="1" applyFill="1" applyBorder="1" applyAlignment="1" applyProtection="1">
      <protection locked="0"/>
    </xf>
    <xf numFmtId="3" fontId="25" fillId="53" borderId="0" xfId="0" applyNumberFormat="1" applyFont="1" applyFill="1" applyBorder="1" applyAlignment="1" applyProtection="1">
      <protection locked="0"/>
    </xf>
    <xf numFmtId="167" fontId="25" fillId="53" borderId="0" xfId="0" applyNumberFormat="1" applyFont="1" applyFill="1" applyBorder="1" applyAlignment="1" applyProtection="1">
      <protection locked="0"/>
    </xf>
    <xf numFmtId="0" fontId="53" fillId="53" borderId="14" xfId="0" applyNumberFormat="1" applyFont="1" applyFill="1" applyBorder="1" applyAlignment="1" applyProtection="1">
      <protection locked="0"/>
    </xf>
    <xf numFmtId="167" fontId="21" fillId="53" borderId="0" xfId="0" applyNumberFormat="1" applyFont="1" applyFill="1" applyBorder="1" applyAlignment="1" applyProtection="1">
      <protection locked="0"/>
    </xf>
    <xf numFmtId="44" fontId="20" fillId="53" borderId="0" xfId="0" applyNumberFormat="1" applyFont="1" applyFill="1" applyBorder="1" applyAlignment="1" applyProtection="1">
      <protection locked="0"/>
    </xf>
    <xf numFmtId="165" fontId="20" fillId="53" borderId="0" xfId="0" applyNumberFormat="1" applyFont="1" applyFill="1" applyBorder="1" applyAlignment="1" applyProtection="1">
      <alignment horizontal="right"/>
      <protection locked="0"/>
    </xf>
    <xf numFmtId="165" fontId="20" fillId="53" borderId="0" xfId="0" applyNumberFormat="1" applyFont="1" applyFill="1" applyBorder="1" applyAlignment="1" applyProtection="1">
      <protection locked="0"/>
    </xf>
    <xf numFmtId="0" fontId="21" fillId="53" borderId="0" xfId="0" applyNumberFormat="1" applyFont="1" applyFill="1" applyBorder="1" applyAlignment="1" applyProtection="1">
      <protection locked="0"/>
    </xf>
    <xf numFmtId="4" fontId="20" fillId="54" borderId="15" xfId="0" applyNumberFormat="1" applyFont="1" applyFill="1" applyBorder="1" applyProtection="1">
      <protection locked="0"/>
    </xf>
    <xf numFmtId="4" fontId="20" fillId="53" borderId="0" xfId="0" applyNumberFormat="1" applyFont="1" applyFill="1" applyBorder="1" applyAlignment="1" applyProtection="1">
      <protection locked="0"/>
    </xf>
    <xf numFmtId="3" fontId="21" fillId="53" borderId="0" xfId="0" applyNumberFormat="1" applyFont="1" applyFill="1" applyBorder="1" applyAlignment="1" applyProtection="1">
      <protection locked="0"/>
    </xf>
    <xf numFmtId="3" fontId="21" fillId="53" borderId="14" xfId="0" applyNumberFormat="1" applyFont="1" applyFill="1" applyBorder="1" applyAlignment="1" applyProtection="1">
      <protection locked="0"/>
    </xf>
    <xf numFmtId="4" fontId="21" fillId="53" borderId="0" xfId="0" applyNumberFormat="1" applyFont="1" applyFill="1" applyBorder="1" applyAlignment="1" applyProtection="1">
      <protection locked="0"/>
    </xf>
    <xf numFmtId="173" fontId="21" fillId="53" borderId="0" xfId="0" applyNumberFormat="1" applyFont="1" applyFill="1" applyBorder="1" applyAlignment="1" applyProtection="1">
      <protection locked="0"/>
    </xf>
    <xf numFmtId="168" fontId="20" fillId="54" borderId="15" xfId="0" applyNumberFormat="1" applyFont="1" applyFill="1" applyBorder="1" applyProtection="1">
      <protection locked="0"/>
    </xf>
    <xf numFmtId="3" fontId="20" fillId="53" borderId="14" xfId="0" applyNumberFormat="1" applyFont="1" applyFill="1" applyBorder="1" applyAlignment="1" applyProtection="1">
      <protection locked="0"/>
    </xf>
    <xf numFmtId="3" fontId="20" fillId="54" borderId="14" xfId="0" applyNumberFormat="1" applyFont="1" applyFill="1" applyBorder="1" applyAlignment="1" applyProtection="1">
      <protection locked="0"/>
    </xf>
    <xf numFmtId="0" fontId="20" fillId="54" borderId="0" xfId="0" applyNumberFormat="1" applyFont="1" applyFill="1" applyBorder="1" applyAlignment="1" applyProtection="1">
      <protection locked="0"/>
    </xf>
    <xf numFmtId="0" fontId="2" fillId="54" borderId="0" xfId="0" applyFont="1" applyFill="1" applyBorder="1" applyProtection="1">
      <protection locked="0"/>
    </xf>
    <xf numFmtId="5" fontId="20" fillId="53" borderId="0" xfId="0" applyNumberFormat="1" applyFont="1" applyFill="1" applyBorder="1" applyAlignment="1" applyProtection="1">
      <protection locked="0"/>
    </xf>
    <xf numFmtId="4" fontId="25" fillId="54" borderId="15" xfId="0" applyNumberFormat="1" applyFont="1" applyFill="1" applyBorder="1" applyProtection="1">
      <protection locked="0"/>
    </xf>
    <xf numFmtId="0" fontId="21" fillId="53" borderId="0" xfId="0" applyNumberFormat="1" applyFont="1" applyFill="1" applyBorder="1" applyAlignment="1" applyProtection="1">
      <alignment horizontal="right"/>
      <protection locked="0"/>
    </xf>
    <xf numFmtId="167" fontId="21" fillId="53" borderId="0" xfId="0" applyNumberFormat="1" applyFont="1" applyFill="1" applyBorder="1" applyAlignment="1" applyProtection="1">
      <alignment horizontal="left"/>
      <protection locked="0"/>
    </xf>
    <xf numFmtId="2" fontId="20" fillId="53" borderId="0" xfId="0" applyNumberFormat="1" applyFont="1" applyFill="1" applyBorder="1" applyAlignment="1" applyProtection="1">
      <protection locked="0"/>
    </xf>
    <xf numFmtId="0" fontId="23" fillId="54" borderId="20" xfId="0" applyFont="1" applyFill="1" applyBorder="1" applyProtection="1">
      <protection locked="0"/>
    </xf>
    <xf numFmtId="44" fontId="22" fillId="54" borderId="21" xfId="29" applyFont="1" applyFill="1" applyBorder="1" applyProtection="1">
      <protection locked="0"/>
    </xf>
    <xf numFmtId="0" fontId="23" fillId="54" borderId="22" xfId="0" applyFont="1" applyFill="1" applyBorder="1" applyProtection="1">
      <protection locked="0"/>
    </xf>
    <xf numFmtId="0" fontId="20" fillId="54" borderId="0" xfId="0" applyFont="1" applyFill="1" applyBorder="1" applyProtection="1">
      <protection locked="0"/>
    </xf>
    <xf numFmtId="10" fontId="21" fillId="54" borderId="14" xfId="0" applyNumberFormat="1" applyFont="1" applyFill="1" applyBorder="1" applyProtection="1">
      <protection locked="0"/>
    </xf>
    <xf numFmtId="0" fontId="23" fillId="54" borderId="0" xfId="0" applyFont="1" applyFill="1" applyBorder="1" applyProtection="1">
      <protection locked="0"/>
    </xf>
    <xf numFmtId="44" fontId="23" fillId="54" borderId="0" xfId="29" applyFont="1" applyFill="1" applyBorder="1" applyProtection="1">
      <protection locked="0"/>
    </xf>
    <xf numFmtId="0" fontId="22" fillId="54" borderId="0" xfId="0" applyFont="1" applyFill="1" applyBorder="1" applyProtection="1">
      <protection locked="0"/>
    </xf>
    <xf numFmtId="3" fontId="23" fillId="54" borderId="15" xfId="0" applyNumberFormat="1" applyFont="1" applyFill="1" applyBorder="1" applyProtection="1">
      <protection locked="0"/>
    </xf>
    <xf numFmtId="44" fontId="22" fillId="54" borderId="0" xfId="29" applyFont="1" applyFill="1" applyBorder="1" applyProtection="1">
      <protection locked="0"/>
    </xf>
    <xf numFmtId="3" fontId="54" fillId="54" borderId="15" xfId="0" applyNumberFormat="1" applyFont="1" applyFill="1" applyBorder="1" applyProtection="1">
      <protection locked="0"/>
    </xf>
    <xf numFmtId="14" fontId="57" fillId="54" borderId="14" xfId="0" applyNumberFormat="1" applyFont="1" applyFill="1" applyBorder="1" applyProtection="1">
      <protection locked="0"/>
    </xf>
    <xf numFmtId="10" fontId="24" fillId="54" borderId="14" xfId="0" applyNumberFormat="1" applyFont="1" applyFill="1" applyBorder="1" applyProtection="1">
      <protection locked="0"/>
    </xf>
    <xf numFmtId="0" fontId="22" fillId="54" borderId="0" xfId="0" applyFont="1" applyFill="1" applyBorder="1"/>
    <xf numFmtId="0" fontId="2" fillId="54" borderId="0" xfId="0" applyFont="1" applyFill="1" applyBorder="1"/>
    <xf numFmtId="3" fontId="23" fillId="54" borderId="0" xfId="0" applyNumberFormat="1" applyFont="1" applyFill="1" applyBorder="1" applyProtection="1">
      <protection locked="0"/>
    </xf>
    <xf numFmtId="0" fontId="2" fillId="54" borderId="14" xfId="0" applyFont="1" applyFill="1" applyBorder="1" applyProtection="1">
      <protection locked="0"/>
    </xf>
    <xf numFmtId="3" fontId="21" fillId="54" borderId="0" xfId="0" applyNumberFormat="1" applyFont="1" applyFill="1" applyBorder="1" applyProtection="1">
      <protection locked="0"/>
    </xf>
    <xf numFmtId="168" fontId="23" fillId="54" borderId="0" xfId="0" applyNumberFormat="1" applyFont="1" applyFill="1" applyBorder="1" applyProtection="1">
      <protection locked="0"/>
    </xf>
    <xf numFmtId="169" fontId="21" fillId="54" borderId="0" xfId="0" applyNumberFormat="1" applyFont="1" applyFill="1" applyBorder="1" applyProtection="1">
      <protection locked="0"/>
    </xf>
    <xf numFmtId="168" fontId="23" fillId="54" borderId="15" xfId="0" applyNumberFormat="1" applyFont="1" applyFill="1" applyBorder="1" applyProtection="1">
      <protection locked="0"/>
    </xf>
    <xf numFmtId="168" fontId="21" fillId="54" borderId="0" xfId="0" applyNumberFormat="1" applyFont="1" applyFill="1" applyBorder="1" applyProtection="1">
      <protection locked="0"/>
    </xf>
    <xf numFmtId="0" fontId="21" fillId="54" borderId="0" xfId="0" applyFont="1" applyFill="1" applyBorder="1" applyProtection="1">
      <protection locked="0"/>
    </xf>
    <xf numFmtId="4" fontId="21" fillId="54" borderId="16" xfId="0" applyNumberFormat="1" applyFont="1" applyFill="1" applyBorder="1" applyProtection="1">
      <protection locked="0"/>
    </xf>
    <xf numFmtId="0" fontId="23" fillId="54" borderId="17" xfId="0" applyFont="1" applyFill="1" applyBorder="1" applyProtection="1">
      <protection locked="0"/>
    </xf>
    <xf numFmtId="44" fontId="22" fillId="54" borderId="17" xfId="29" applyFont="1" applyFill="1" applyBorder="1" applyProtection="1">
      <protection locked="0"/>
    </xf>
    <xf numFmtId="0" fontId="2" fillId="54" borderId="17" xfId="0" applyFont="1" applyFill="1" applyBorder="1" applyProtection="1">
      <protection locked="0"/>
    </xf>
    <xf numFmtId="168" fontId="23" fillId="54" borderId="18" xfId="0" applyNumberFormat="1" applyFont="1" applyFill="1" applyBorder="1" applyProtection="1">
      <protection locked="0"/>
    </xf>
    <xf numFmtId="0" fontId="21" fillId="54" borderId="16" xfId="0" applyFont="1" applyFill="1" applyBorder="1" applyProtection="1">
      <protection locked="0"/>
    </xf>
    <xf numFmtId="10" fontId="23" fillId="54" borderId="17" xfId="0" applyNumberFormat="1" applyFont="1" applyFill="1" applyBorder="1" applyProtection="1">
      <protection locked="0"/>
    </xf>
    <xf numFmtId="5" fontId="23" fillId="54" borderId="17" xfId="29" applyNumberFormat="1" applyFont="1" applyFill="1" applyBorder="1" applyProtection="1">
      <protection locked="0"/>
    </xf>
    <xf numFmtId="42" fontId="23" fillId="54" borderId="17" xfId="29" applyNumberFormat="1" applyFont="1" applyFill="1" applyBorder="1" applyProtection="1">
      <protection locked="0"/>
    </xf>
    <xf numFmtId="168" fontId="23" fillId="54" borderId="17" xfId="0" applyNumberFormat="1" applyFont="1" applyFill="1" applyBorder="1" applyProtection="1">
      <protection locked="0"/>
    </xf>
    <xf numFmtId="1" fontId="22" fillId="55" borderId="24" xfId="0" applyNumberFormat="1" applyFont="1" applyFill="1" applyBorder="1" applyAlignment="1" applyProtection="1">
      <alignment horizontal="left"/>
      <protection locked="0"/>
    </xf>
    <xf numFmtId="0" fontId="22" fillId="55" borderId="24" xfId="0" applyNumberFormat="1" applyFont="1" applyFill="1" applyBorder="1" applyAlignment="1" applyProtection="1">
      <protection locked="0"/>
    </xf>
    <xf numFmtId="3" fontId="22" fillId="55" borderId="24" xfId="0" applyNumberFormat="1" applyFont="1" applyFill="1" applyBorder="1" applyAlignment="1" applyProtection="1">
      <protection locked="0"/>
    </xf>
    <xf numFmtId="3" fontId="22" fillId="55" borderId="24" xfId="0" applyNumberFormat="1" applyFont="1" applyFill="1" applyBorder="1" applyAlignment="1" applyProtection="1">
      <alignment horizontal="right"/>
      <protection locked="0"/>
    </xf>
    <xf numFmtId="9" fontId="22" fillId="55" borderId="24" xfId="0" applyNumberFormat="1" applyFont="1" applyFill="1" applyBorder="1" applyAlignment="1" applyProtection="1">
      <protection locked="0"/>
    </xf>
    <xf numFmtId="0" fontId="24" fillId="55" borderId="24" xfId="0" applyNumberFormat="1" applyFont="1" applyFill="1" applyBorder="1" applyAlignment="1" applyProtection="1">
      <protection locked="0"/>
    </xf>
    <xf numFmtId="0" fontId="1" fillId="55" borderId="24" xfId="0" applyNumberFormat="1" applyFont="1" applyFill="1" applyBorder="1" applyAlignment="1" applyProtection="1">
      <protection locked="0"/>
    </xf>
    <xf numFmtId="0" fontId="0" fillId="55" borderId="24" xfId="0" applyFill="1" applyBorder="1"/>
    <xf numFmtId="3" fontId="36" fillId="55" borderId="24" xfId="0" applyNumberFormat="1" applyFont="1" applyFill="1" applyBorder="1" applyAlignment="1" applyProtection="1">
      <protection locked="0"/>
    </xf>
    <xf numFmtId="0" fontId="0" fillId="27" borderId="24" xfId="0" applyFill="1" applyBorder="1"/>
    <xf numFmtId="0" fontId="22" fillId="0" borderId="24" xfId="0" applyFont="1" applyFill="1" applyBorder="1" applyProtection="1">
      <protection locked="0"/>
    </xf>
    <xf numFmtId="10" fontId="22" fillId="0" borderId="24" xfId="0" applyNumberFormat="1" applyFont="1" applyFill="1" applyBorder="1" applyProtection="1">
      <protection locked="0"/>
    </xf>
    <xf numFmtId="3" fontId="30" fillId="0" borderId="24" xfId="0" applyNumberFormat="1" applyFont="1" applyFill="1" applyBorder="1" applyAlignment="1" applyProtection="1">
      <alignment horizontal="left"/>
      <protection locked="0"/>
    </xf>
    <xf numFmtId="1" fontId="23" fillId="56" borderId="24" xfId="0" applyNumberFormat="1" applyFont="1" applyFill="1" applyBorder="1" applyAlignment="1" applyProtection="1">
      <alignment horizontal="center"/>
      <protection locked="0"/>
    </xf>
    <xf numFmtId="0" fontId="23" fillId="56" borderId="24" xfId="0" applyNumberFormat="1" applyFont="1" applyFill="1" applyBorder="1" applyAlignment="1" applyProtection="1">
      <alignment horizontal="center"/>
      <protection locked="0"/>
    </xf>
    <xf numFmtId="14" fontId="23" fillId="56" borderId="24" xfId="0" applyNumberFormat="1" applyFont="1" applyFill="1" applyBorder="1" applyAlignment="1" applyProtection="1">
      <alignment horizontal="center"/>
      <protection locked="0"/>
    </xf>
    <xf numFmtId="1" fontId="23" fillId="56" borderId="24" xfId="0" applyNumberFormat="1" applyFont="1" applyFill="1" applyBorder="1" applyAlignment="1" applyProtection="1">
      <alignment horizontal="left"/>
      <protection locked="0"/>
    </xf>
    <xf numFmtId="0" fontId="30" fillId="56" borderId="24" xfId="0" applyNumberFormat="1" applyFont="1" applyFill="1" applyBorder="1" applyAlignment="1" applyProtection="1">
      <protection locked="0"/>
    </xf>
    <xf numFmtId="0" fontId="22" fillId="56" borderId="24" xfId="0" applyNumberFormat="1" applyFont="1" applyFill="1" applyBorder="1" applyAlignment="1" applyProtection="1">
      <protection locked="0"/>
    </xf>
    <xf numFmtId="0" fontId="23" fillId="56" borderId="24" xfId="0" applyNumberFormat="1" applyFont="1" applyFill="1" applyBorder="1" applyAlignment="1" applyProtection="1">
      <protection locked="0"/>
    </xf>
    <xf numFmtId="44" fontId="67" fillId="0" borderId="24" xfId="48" applyFont="1" applyFill="1" applyBorder="1"/>
    <xf numFmtId="1" fontId="45" fillId="56" borderId="24" xfId="0" applyNumberFormat="1" applyFont="1" applyFill="1" applyBorder="1" applyAlignment="1" applyProtection="1">
      <alignment horizontal="left"/>
      <protection locked="0"/>
    </xf>
    <xf numFmtId="3" fontId="68" fillId="0" borderId="24" xfId="0" applyNumberFormat="1" applyFont="1" applyFill="1" applyBorder="1"/>
    <xf numFmtId="0" fontId="68" fillId="0" borderId="24" xfId="0" applyFont="1" applyFill="1" applyBorder="1"/>
    <xf numFmtId="0" fontId="67" fillId="0" borderId="24" xfId="0" applyFont="1" applyFill="1" applyBorder="1"/>
    <xf numFmtId="3" fontId="68" fillId="0" borderId="24" xfId="0" applyNumberFormat="1" applyFont="1" applyFill="1" applyBorder="1" applyAlignment="1" applyProtection="1">
      <alignment horizontal="left" vertical="top"/>
      <protection locked="0"/>
    </xf>
    <xf numFmtId="0" fontId="22" fillId="0" borderId="24" xfId="0" applyFont="1" applyFill="1" applyBorder="1" applyAlignment="1" applyProtection="1">
      <alignment horizontal="center"/>
      <protection locked="0"/>
    </xf>
    <xf numFmtId="0" fontId="71" fillId="0" borderId="24" xfId="0" applyFont="1" applyBorder="1"/>
    <xf numFmtId="0" fontId="22" fillId="0" borderId="24" xfId="0" applyFont="1" applyFill="1" applyBorder="1" applyAlignment="1" applyProtection="1">
      <alignment horizontal="left" vertical="top"/>
      <protection locked="0"/>
    </xf>
    <xf numFmtId="0" fontId="18" fillId="0" borderId="24" xfId="0" applyNumberFormat="1" applyFont="1" applyFill="1" applyBorder="1" applyAlignment="1" applyProtection="1">
      <protection locked="0"/>
    </xf>
    <xf numFmtId="0" fontId="3" fillId="0" borderId="24" xfId="0" applyNumberFormat="1" applyFont="1" applyFill="1" applyBorder="1" applyAlignment="1" applyProtection="1">
      <protection locked="0"/>
    </xf>
    <xf numFmtId="0" fontId="36" fillId="0" borderId="24" xfId="0" applyNumberFormat="1" applyFont="1" applyFill="1" applyBorder="1" applyAlignment="1" applyProtection="1">
      <alignment horizontal="left"/>
      <protection locked="0"/>
    </xf>
    <xf numFmtId="10" fontId="21" fillId="0" borderId="24" xfId="0" applyNumberFormat="1" applyFont="1" applyFill="1" applyBorder="1" applyAlignment="1" applyProtection="1">
      <protection locked="0"/>
    </xf>
    <xf numFmtId="0" fontId="23" fillId="55" borderId="24" xfId="0" applyNumberFormat="1" applyFont="1" applyFill="1" applyBorder="1" applyAlignment="1" applyProtection="1">
      <alignment horizontal="center"/>
      <protection locked="0"/>
    </xf>
    <xf numFmtId="1" fontId="23" fillId="55" borderId="24" xfId="0" applyNumberFormat="1" applyFont="1" applyFill="1" applyBorder="1" applyAlignment="1" applyProtection="1">
      <alignment horizontal="center"/>
      <protection locked="0"/>
    </xf>
    <xf numFmtId="3" fontId="23" fillId="55" borderId="24" xfId="0" applyNumberFormat="1" applyFont="1" applyFill="1" applyBorder="1" applyAlignment="1" applyProtection="1">
      <alignment horizontal="center"/>
      <protection locked="0"/>
    </xf>
    <xf numFmtId="0" fontId="23" fillId="55" borderId="24" xfId="0" applyNumberFormat="1" applyFont="1" applyFill="1" applyBorder="1" applyAlignment="1" applyProtection="1">
      <protection locked="0"/>
    </xf>
    <xf numFmtId="0" fontId="36" fillId="0" borderId="24" xfId="0" applyNumberFormat="1" applyFont="1" applyFill="1" applyBorder="1" applyAlignment="1" applyProtection="1">
      <protection locked="0"/>
    </xf>
    <xf numFmtId="4" fontId="22" fillId="55" borderId="24" xfId="0" applyNumberFormat="1" applyFont="1" applyFill="1" applyBorder="1" applyAlignment="1" applyProtection="1">
      <alignment horizontal="center"/>
      <protection locked="0"/>
    </xf>
    <xf numFmtId="0" fontId="28" fillId="55" borderId="24" xfId="0" applyNumberFormat="1" applyFont="1" applyFill="1" applyBorder="1" applyAlignment="1" applyProtection="1">
      <protection locked="0"/>
    </xf>
    <xf numFmtId="3" fontId="72" fillId="0" borderId="24" xfId="0" applyNumberFormat="1" applyFont="1" applyBorder="1"/>
    <xf numFmtId="1" fontId="23" fillId="55" borderId="24" xfId="0" applyNumberFormat="1" applyFont="1" applyFill="1" applyBorder="1" applyAlignment="1" applyProtection="1">
      <alignment horizontal="left"/>
      <protection locked="0"/>
    </xf>
    <xf numFmtId="49" fontId="22" fillId="0" borderId="24" xfId="0" applyNumberFormat="1" applyFont="1" applyFill="1" applyBorder="1" applyAlignment="1" applyProtection="1">
      <protection locked="0"/>
    </xf>
    <xf numFmtId="49" fontId="60" fillId="0" borderId="24" xfId="0" applyNumberFormat="1" applyFont="1" applyBorder="1"/>
    <xf numFmtId="49" fontId="0" fillId="0" borderId="24" xfId="0" applyNumberFormat="1" applyBorder="1"/>
    <xf numFmtId="49" fontId="0" fillId="0" borderId="24" xfId="0" applyNumberFormat="1" applyFill="1" applyBorder="1"/>
    <xf numFmtId="49" fontId="22" fillId="55" borderId="24" xfId="0" applyNumberFormat="1" applyFont="1" applyFill="1" applyBorder="1" applyAlignment="1" applyProtection="1">
      <alignment horizontal="left"/>
      <protection locked="0"/>
    </xf>
    <xf numFmtId="3" fontId="45" fillId="0" borderId="24" xfId="0" applyNumberFormat="1" applyFont="1" applyFill="1" applyBorder="1" applyAlignment="1" applyProtection="1">
      <alignment horizontal="right"/>
      <protection locked="0"/>
    </xf>
    <xf numFmtId="3" fontId="45" fillId="0" borderId="24" xfId="0" applyNumberFormat="1" applyFont="1" applyFill="1" applyBorder="1" applyAlignment="1" applyProtection="1">
      <protection locked="0"/>
    </xf>
    <xf numFmtId="0" fontId="22" fillId="55" borderId="24" xfId="0" applyNumberFormat="1" applyFont="1" applyFill="1" applyBorder="1" applyAlignment="1" applyProtection="1">
      <alignment horizontal="left"/>
      <protection locked="0"/>
    </xf>
    <xf numFmtId="1" fontId="35" fillId="55" borderId="24" xfId="0" applyNumberFormat="1" applyFont="1" applyFill="1" applyBorder="1" applyAlignment="1" applyProtection="1">
      <alignment horizontal="center"/>
      <protection locked="0"/>
    </xf>
    <xf numFmtId="0" fontId="38" fillId="55" borderId="24" xfId="0" applyNumberFormat="1" applyFont="1" applyFill="1" applyBorder="1" applyAlignment="1" applyProtection="1">
      <protection locked="0"/>
    </xf>
    <xf numFmtId="1" fontId="23" fillId="57" borderId="24" xfId="0" applyNumberFormat="1" applyFont="1" applyFill="1" applyBorder="1" applyAlignment="1" applyProtection="1">
      <alignment horizontal="left"/>
      <protection locked="0"/>
    </xf>
    <xf numFmtId="0" fontId="23" fillId="57" borderId="24" xfId="0" applyNumberFormat="1" applyFont="1" applyFill="1" applyBorder="1" applyAlignment="1" applyProtection="1">
      <protection locked="0"/>
    </xf>
    <xf numFmtId="3" fontId="28" fillId="55" borderId="24" xfId="0" applyNumberFormat="1" applyFont="1" applyFill="1" applyBorder="1" applyAlignment="1" applyProtection="1">
      <protection locked="0"/>
    </xf>
    <xf numFmtId="3" fontId="23" fillId="55" borderId="24" xfId="0" applyNumberFormat="1" applyFont="1" applyFill="1" applyBorder="1" applyAlignment="1" applyProtection="1">
      <alignment horizontal="right"/>
      <protection locked="0"/>
    </xf>
    <xf numFmtId="38" fontId="23" fillId="55" borderId="24" xfId="0" applyNumberFormat="1" applyFont="1" applyFill="1" applyBorder="1" applyAlignment="1" applyProtection="1">
      <alignment horizontal="right"/>
      <protection locked="0"/>
    </xf>
    <xf numFmtId="3" fontId="23" fillId="55" borderId="24" xfId="0" applyNumberFormat="1" applyFont="1" applyFill="1" applyBorder="1" applyAlignment="1" applyProtection="1">
      <protection locked="0"/>
    </xf>
    <xf numFmtId="1" fontId="22" fillId="55" borderId="24" xfId="0" applyNumberFormat="1" applyFont="1" applyFill="1" applyBorder="1" applyAlignment="1" applyProtection="1">
      <alignment horizontal="right"/>
      <protection locked="0"/>
    </xf>
    <xf numFmtId="3" fontId="28" fillId="55" borderId="24" xfId="0" applyNumberFormat="1" applyFont="1" applyFill="1" applyBorder="1" applyAlignment="1" applyProtection="1">
      <alignment horizontal="right"/>
      <protection locked="0"/>
    </xf>
    <xf numFmtId="38" fontId="22" fillId="55" borderId="24" xfId="0" applyNumberFormat="1" applyFont="1" applyFill="1" applyBorder="1" applyAlignment="1" applyProtection="1">
      <alignment horizontal="right"/>
      <protection locked="0"/>
    </xf>
    <xf numFmtId="10" fontId="22" fillId="55" borderId="24" xfId="0" applyNumberFormat="1" applyFont="1" applyFill="1" applyBorder="1" applyAlignment="1" applyProtection="1">
      <protection locked="0"/>
    </xf>
    <xf numFmtId="38" fontId="22" fillId="55" borderId="24" xfId="0" applyNumberFormat="1" applyFont="1" applyFill="1" applyBorder="1" applyAlignment="1" applyProtection="1">
      <protection locked="0"/>
    </xf>
    <xf numFmtId="38" fontId="28" fillId="55" borderId="24" xfId="0" applyNumberFormat="1" applyFont="1" applyFill="1" applyBorder="1" applyAlignment="1" applyProtection="1">
      <protection locked="0"/>
    </xf>
    <xf numFmtId="38" fontId="36" fillId="55" borderId="24" xfId="0" applyNumberFormat="1" applyFont="1" applyFill="1" applyBorder="1" applyAlignment="1" applyProtection="1">
      <protection locked="0"/>
    </xf>
    <xf numFmtId="38" fontId="30" fillId="55" borderId="24" xfId="0" applyNumberFormat="1" applyFont="1" applyFill="1" applyBorder="1" applyAlignment="1" applyProtection="1">
      <protection locked="0"/>
    </xf>
    <xf numFmtId="38" fontId="30" fillId="55" borderId="24" xfId="0" applyNumberFormat="1" applyFont="1" applyFill="1" applyBorder="1" applyAlignment="1" applyProtection="1">
      <alignment horizontal="right"/>
      <protection locked="0"/>
    </xf>
    <xf numFmtId="38" fontId="23" fillId="55" borderId="24" xfId="0" applyNumberFormat="1" applyFont="1" applyFill="1" applyBorder="1" applyAlignment="1" applyProtection="1">
      <protection locked="0"/>
    </xf>
    <xf numFmtId="38" fontId="28" fillId="55" borderId="24" xfId="0" applyNumberFormat="1" applyFont="1" applyFill="1" applyBorder="1" applyAlignment="1" applyProtection="1">
      <alignment horizontal="right"/>
      <protection locked="0"/>
    </xf>
    <xf numFmtId="1" fontId="22" fillId="55" borderId="24" xfId="0" applyNumberFormat="1" applyFont="1" applyFill="1" applyBorder="1" applyAlignment="1" applyProtection="1">
      <protection locked="0"/>
    </xf>
    <xf numFmtId="0" fontId="30" fillId="55" borderId="24" xfId="0" applyNumberFormat="1" applyFont="1" applyFill="1" applyBorder="1" applyAlignment="1" applyProtection="1">
      <protection locked="0"/>
    </xf>
    <xf numFmtId="38" fontId="68" fillId="55" borderId="24" xfId="0" applyNumberFormat="1" applyFont="1" applyFill="1" applyBorder="1" applyAlignment="1" applyProtection="1">
      <protection locked="0"/>
    </xf>
    <xf numFmtId="38" fontId="69" fillId="55" borderId="24" xfId="0" applyNumberFormat="1" applyFont="1" applyFill="1" applyBorder="1" applyAlignment="1" applyProtection="1">
      <protection locked="0"/>
    </xf>
    <xf numFmtId="3" fontId="30" fillId="55" borderId="24" xfId="0" applyNumberFormat="1" applyFont="1" applyFill="1" applyBorder="1" applyAlignment="1" applyProtection="1">
      <protection locked="0"/>
    </xf>
    <xf numFmtId="3" fontId="22" fillId="55" borderId="24" xfId="0" applyNumberFormat="1" applyFont="1" applyFill="1" applyBorder="1" applyProtection="1">
      <protection locked="0"/>
    </xf>
    <xf numFmtId="0" fontId="21" fillId="55" borderId="24" xfId="0" applyNumberFormat="1" applyFont="1" applyFill="1" applyBorder="1" applyAlignment="1" applyProtection="1">
      <protection locked="0"/>
    </xf>
    <xf numFmtId="44" fontId="20" fillId="55" borderId="24" xfId="0" applyNumberFormat="1" applyFont="1" applyFill="1" applyBorder="1" applyAlignment="1" applyProtection="1">
      <protection locked="0"/>
    </xf>
    <xf numFmtId="44" fontId="21" fillId="55" borderId="24" xfId="0" applyNumberFormat="1" applyFont="1" applyFill="1" applyBorder="1" applyAlignment="1" applyProtection="1">
      <alignment horizontal="left"/>
      <protection locked="0"/>
    </xf>
    <xf numFmtId="44" fontId="21" fillId="55" borderId="24" xfId="0" applyNumberFormat="1" applyFont="1" applyFill="1" applyBorder="1" applyAlignment="1" applyProtection="1">
      <protection locked="0"/>
    </xf>
    <xf numFmtId="44" fontId="23" fillId="55" borderId="24" xfId="0" applyNumberFormat="1" applyFont="1" applyFill="1" applyBorder="1" applyAlignment="1" applyProtection="1">
      <protection locked="0"/>
    </xf>
    <xf numFmtId="49" fontId="23" fillId="25" borderId="24" xfId="0" applyNumberFormat="1" applyFont="1" applyFill="1" applyBorder="1" applyAlignment="1" applyProtection="1">
      <alignment horizontal="center"/>
      <protection locked="0"/>
    </xf>
    <xf numFmtId="3" fontId="30" fillId="0" borderId="24" xfId="0" applyNumberFormat="1" applyFont="1" applyFill="1" applyBorder="1" applyProtection="1">
      <protection locked="0"/>
    </xf>
    <xf numFmtId="3" fontId="23" fillId="0" borderId="24" xfId="0" applyNumberFormat="1" applyFont="1" applyFill="1" applyBorder="1" applyProtection="1">
      <protection locked="0"/>
    </xf>
    <xf numFmtId="3" fontId="73" fillId="0" borderId="24" xfId="0" applyNumberFormat="1" applyFont="1" applyBorder="1"/>
    <xf numFmtId="3" fontId="30" fillId="55" borderId="24" xfId="0" applyNumberFormat="1" applyFont="1" applyFill="1" applyBorder="1" applyAlignment="1" applyProtection="1">
      <alignment horizontal="right"/>
      <protection locked="0"/>
    </xf>
    <xf numFmtId="38" fontId="30" fillId="0" borderId="24" xfId="0" applyNumberFormat="1" applyFont="1" applyFill="1" applyBorder="1" applyAlignment="1" applyProtection="1">
      <alignment horizontal="right"/>
      <protection locked="0"/>
    </xf>
  </cellXfs>
  <cellStyles count="49">
    <cellStyle name="20% - Accent1 2" xfId="2" xr:uid="{00000000-0005-0000-0000-000000000000}"/>
    <cellStyle name="20% - Accent2 2" xfId="3" xr:uid="{00000000-0005-0000-0000-000001000000}"/>
    <cellStyle name="20% - Accent3 2" xfId="46" xr:uid="{00000000-0005-0000-0000-000002000000}"/>
    <cellStyle name="20% - Accent3 3" xfId="4" xr:uid="{00000000-0005-0000-0000-000003000000}"/>
    <cellStyle name="20% - Accent4 2" xfId="5" xr:uid="{00000000-0005-0000-0000-000004000000}"/>
    <cellStyle name="20% - Accent5 2" xfId="6" xr:uid="{00000000-0005-0000-0000-000005000000}"/>
    <cellStyle name="20% - Accent6 2" xfId="7" xr:uid="{00000000-0005-0000-0000-000006000000}"/>
    <cellStyle name="40% - Accent1 2" xfId="8" xr:uid="{00000000-0005-0000-0000-000007000000}"/>
    <cellStyle name="40% - Accent2 2" xfId="9" xr:uid="{00000000-0005-0000-0000-000008000000}"/>
    <cellStyle name="40% - Accent3 2" xfId="10" xr:uid="{00000000-0005-0000-0000-000009000000}"/>
    <cellStyle name="40% - Accent4 2" xfId="11" xr:uid="{00000000-0005-0000-0000-00000A000000}"/>
    <cellStyle name="40% - Accent5 2" xfId="12" xr:uid="{00000000-0005-0000-0000-00000B000000}"/>
    <cellStyle name="40% - Accent6 2" xfId="13" xr:uid="{00000000-0005-0000-0000-00000C000000}"/>
    <cellStyle name="60% - Accent1 2" xfId="14" xr:uid="{00000000-0005-0000-0000-00000D000000}"/>
    <cellStyle name="60% - Accent2 2" xfId="15" xr:uid="{00000000-0005-0000-0000-00000E000000}"/>
    <cellStyle name="60% - Accent3 2" xfId="16" xr:uid="{00000000-0005-0000-0000-00000F000000}"/>
    <cellStyle name="60% - Accent4 2" xfId="17" xr:uid="{00000000-0005-0000-0000-000010000000}"/>
    <cellStyle name="60% - Accent5 2" xfId="18" xr:uid="{00000000-0005-0000-0000-000011000000}"/>
    <cellStyle name="60% - Accent6 2" xfId="19" xr:uid="{00000000-0005-0000-0000-000012000000}"/>
    <cellStyle name="Accent1 2" xfId="20" xr:uid="{00000000-0005-0000-0000-000013000000}"/>
    <cellStyle name="Accent2 2" xfId="21" xr:uid="{00000000-0005-0000-0000-000014000000}"/>
    <cellStyle name="Accent3 2" xfId="22" xr:uid="{00000000-0005-0000-0000-000015000000}"/>
    <cellStyle name="Accent4 2" xfId="23" xr:uid="{00000000-0005-0000-0000-000016000000}"/>
    <cellStyle name="Accent5 2" xfId="24" xr:uid="{00000000-0005-0000-0000-000017000000}"/>
    <cellStyle name="Accent6 2" xfId="25" xr:uid="{00000000-0005-0000-0000-000018000000}"/>
    <cellStyle name="Bad 2" xfId="26" xr:uid="{00000000-0005-0000-0000-000019000000}"/>
    <cellStyle name="Calculation 2" xfId="27" xr:uid="{00000000-0005-0000-0000-00001A000000}"/>
    <cellStyle name="Check Cell 2" xfId="28" xr:uid="{00000000-0005-0000-0000-00001B000000}"/>
    <cellStyle name="Currency" xfId="48" builtinId="4"/>
    <cellStyle name="Currency 2" xfId="29" xr:uid="{00000000-0005-0000-0000-00001D000000}"/>
    <cellStyle name="Explanatory Text 2" xfId="30" xr:uid="{00000000-0005-0000-0000-00001E000000}"/>
    <cellStyle name="Good 2" xfId="31" xr:uid="{00000000-0005-0000-0000-00001F000000}"/>
    <cellStyle name="Heading 1 2" xfId="32" xr:uid="{00000000-0005-0000-0000-000020000000}"/>
    <cellStyle name="Heading 2 2" xfId="33" xr:uid="{00000000-0005-0000-0000-000021000000}"/>
    <cellStyle name="Heading 3 2" xfId="34" xr:uid="{00000000-0005-0000-0000-000022000000}"/>
    <cellStyle name="Heading 4 2" xfId="35" xr:uid="{00000000-0005-0000-0000-000023000000}"/>
    <cellStyle name="Input 2" xfId="36" xr:uid="{00000000-0005-0000-0000-000024000000}"/>
    <cellStyle name="Linked Cell 2" xfId="37" xr:uid="{00000000-0005-0000-0000-000025000000}"/>
    <cellStyle name="Neutral 2" xfId="45" xr:uid="{00000000-0005-0000-0000-000026000000}"/>
    <cellStyle name="Neutral 3" xfId="38" xr:uid="{00000000-0005-0000-0000-000027000000}"/>
    <cellStyle name="Normal" xfId="0" builtinId="0"/>
    <cellStyle name="Normal 2" xfId="44" xr:uid="{00000000-0005-0000-0000-000029000000}"/>
    <cellStyle name="Normal 3" xfId="1" xr:uid="{00000000-0005-0000-0000-00002A000000}"/>
    <cellStyle name="Note 2" xfId="39" xr:uid="{00000000-0005-0000-0000-00002B000000}"/>
    <cellStyle name="Output 2" xfId="40" xr:uid="{00000000-0005-0000-0000-00002C000000}"/>
    <cellStyle name="Percent 2" xfId="47" xr:uid="{00000000-0005-0000-0000-00002D000000}"/>
    <cellStyle name="Title 2" xfId="41" xr:uid="{00000000-0005-0000-0000-00002E000000}"/>
    <cellStyle name="Total 2" xfId="42" xr:uid="{00000000-0005-0000-0000-00002F000000}"/>
    <cellStyle name="Warning Text 2" xfId="43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1973715</xdr:colOff>
      <xdr:row>216</xdr:row>
      <xdr:rowOff>125583</xdr:rowOff>
    </xdr:from>
    <xdr:to>
      <xdr:col>2</xdr:col>
      <xdr:colOff>3322455</xdr:colOff>
      <xdr:row>221</xdr:row>
      <xdr:rowOff>59885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 rot="18923564">
          <a:off x="3924435" y="36518703"/>
          <a:ext cx="1348740" cy="772502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DRAFT ONLY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FOR BUDGET WORKSHEET</a:t>
          </a:r>
        </a:p>
      </xdr:txBody>
    </xdr:sp>
    <xdr:clientData/>
  </xdr:twoCellAnchor>
  <xdr:twoCellAnchor>
    <xdr:from>
      <xdr:col>2</xdr:col>
      <xdr:colOff>1973715</xdr:colOff>
      <xdr:row>257</xdr:row>
      <xdr:rowOff>125583</xdr:rowOff>
    </xdr:from>
    <xdr:to>
      <xdr:col>2</xdr:col>
      <xdr:colOff>3322455</xdr:colOff>
      <xdr:row>262</xdr:row>
      <xdr:rowOff>59885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 rot="18923564">
          <a:off x="3869190" y="35329983"/>
          <a:ext cx="1348740" cy="743927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DRAFT ONLY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FOR BUDGET WORKSHEET</a:t>
          </a:r>
        </a:p>
      </xdr:txBody>
    </xdr:sp>
    <xdr:clientData/>
  </xdr:twoCellAnchor>
  <xdr:twoCellAnchor>
    <xdr:from>
      <xdr:col>10</xdr:col>
      <xdr:colOff>165510</xdr:colOff>
      <xdr:row>313</xdr:row>
      <xdr:rowOff>25856</xdr:rowOff>
    </xdr:from>
    <xdr:to>
      <xdr:col>12</xdr:col>
      <xdr:colOff>295050</xdr:colOff>
      <xdr:row>313</xdr:row>
      <xdr:rowOff>71575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 rot="18923564" flipV="1">
          <a:off x="12540390" y="50615036"/>
          <a:ext cx="1348740" cy="4571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M3096"/>
  <sheetViews>
    <sheetView tabSelected="1" zoomScaleNormal="100" workbookViewId="0">
      <selection activeCell="A2" sqref="A2"/>
    </sheetView>
  </sheetViews>
  <sheetFormatPr defaultColWidth="8.85546875" defaultRowHeight="15" x14ac:dyDescent="0.25"/>
  <cols>
    <col min="1" max="1" width="8.85546875" style="622" customWidth="1"/>
    <col min="2" max="2" width="35.85546875" style="622" customWidth="1"/>
    <col min="3" max="3" width="11.7109375" style="640" customWidth="1"/>
    <col min="4" max="4" width="11.42578125" style="622" bestFit="1" customWidth="1"/>
    <col min="5" max="5" width="12" style="622" customWidth="1"/>
    <col min="6" max="6" width="11.42578125" style="640" bestFit="1" customWidth="1"/>
    <col min="7" max="7" width="13" style="622" customWidth="1"/>
    <col min="8" max="8" width="11.28515625" style="641" customWidth="1"/>
    <col min="9" max="9" width="12.85546875" style="622" customWidth="1"/>
    <col min="10" max="10" width="12.140625" style="778" bestFit="1" customWidth="1"/>
    <col min="11" max="11" width="13.85546875" style="622" customWidth="1"/>
    <col min="14" max="65" width="8.85546875" style="622"/>
    <col min="66" max="143" width="9.140625" style="569" customWidth="1"/>
    <col min="144" max="16384" width="8.85546875" style="622"/>
  </cols>
  <sheetData>
    <row r="1" spans="1:11" x14ac:dyDescent="0.25">
      <c r="A1" s="617">
        <v>43100</v>
      </c>
      <c r="B1" s="580" t="s">
        <v>1232</v>
      </c>
      <c r="C1" s="564"/>
      <c r="D1" s="580"/>
      <c r="E1" s="580"/>
      <c r="F1" s="618"/>
      <c r="G1" s="619"/>
      <c r="H1" s="619"/>
      <c r="I1" s="620"/>
      <c r="J1" s="567"/>
      <c r="K1" s="621"/>
    </row>
    <row r="2" spans="1:11" x14ac:dyDescent="0.25">
      <c r="A2" s="623" t="s">
        <v>2</v>
      </c>
      <c r="B2" s="624" t="s">
        <v>0</v>
      </c>
      <c r="C2" s="949"/>
      <c r="D2" s="950"/>
      <c r="E2" s="900"/>
      <c r="F2" s="933"/>
      <c r="G2" s="934"/>
      <c r="H2" s="934"/>
      <c r="I2" s="934"/>
      <c r="J2" s="816"/>
      <c r="K2" s="816"/>
    </row>
    <row r="3" spans="1:11" x14ac:dyDescent="0.25">
      <c r="A3" s="623"/>
      <c r="B3" s="935"/>
      <c r="C3" s="630">
        <v>2017</v>
      </c>
      <c r="D3" s="629" t="s">
        <v>3</v>
      </c>
      <c r="E3" s="629">
        <v>2018</v>
      </c>
      <c r="F3" s="625" t="s">
        <v>3</v>
      </c>
      <c r="G3" s="631" t="s">
        <v>4</v>
      </c>
      <c r="H3" s="631">
        <v>2019</v>
      </c>
      <c r="I3" s="629" t="s">
        <v>5</v>
      </c>
      <c r="J3" s="816"/>
      <c r="K3" s="816"/>
    </row>
    <row r="4" spans="1:11" x14ac:dyDescent="0.25">
      <c r="A4" s="590"/>
      <c r="B4" s="624" t="s">
        <v>1255</v>
      </c>
      <c r="C4" s="630" t="s">
        <v>6</v>
      </c>
      <c r="D4" s="634">
        <v>43069</v>
      </c>
      <c r="E4" s="629" t="s">
        <v>6</v>
      </c>
      <c r="F4" s="635">
        <v>43131</v>
      </c>
      <c r="G4" s="635" t="s">
        <v>1131</v>
      </c>
      <c r="H4" s="635" t="s">
        <v>6</v>
      </c>
      <c r="I4" s="634" t="s">
        <v>7</v>
      </c>
      <c r="J4" s="816"/>
      <c r="K4" s="816"/>
    </row>
    <row r="5" spans="1:11" x14ac:dyDescent="0.25">
      <c r="A5" s="561" t="s">
        <v>8</v>
      </c>
      <c r="B5" s="576"/>
      <c r="C5" s="566">
        <v>942966</v>
      </c>
      <c r="D5" s="566"/>
      <c r="E5" s="566">
        <v>568031</v>
      </c>
      <c r="F5" s="566"/>
      <c r="G5" s="566">
        <f>E5+E687-E688</f>
        <v>261892.36399999913</v>
      </c>
      <c r="H5" s="566"/>
      <c r="I5" s="639"/>
      <c r="J5" s="816"/>
      <c r="K5" s="816"/>
    </row>
    <row r="6" spans="1:11" x14ac:dyDescent="0.25">
      <c r="A6" s="590"/>
      <c r="B6" s="594"/>
      <c r="C6" s="564"/>
      <c r="D6" s="581"/>
      <c r="E6" s="601"/>
      <c r="G6" s="581"/>
      <c r="I6" s="581"/>
      <c r="J6" s="816"/>
      <c r="K6" s="816"/>
    </row>
    <row r="7" spans="1:11" x14ac:dyDescent="0.25">
      <c r="A7" s="560"/>
      <c r="B7" s="561" t="s">
        <v>9</v>
      </c>
      <c r="C7" s="564"/>
      <c r="D7" s="581"/>
      <c r="E7" s="601"/>
      <c r="G7" s="581"/>
      <c r="I7" s="581"/>
      <c r="J7" s="636"/>
      <c r="K7" s="637"/>
    </row>
    <row r="8" spans="1:11" s="647" customFormat="1" x14ac:dyDescent="0.25">
      <c r="A8" s="642">
        <v>30000</v>
      </c>
      <c r="B8" s="643" t="s">
        <v>10</v>
      </c>
      <c r="C8" s="645"/>
      <c r="D8" s="644"/>
      <c r="E8" s="644"/>
      <c r="F8" s="614"/>
      <c r="G8" s="644"/>
      <c r="H8" s="614"/>
      <c r="I8" s="646"/>
    </row>
    <row r="9" spans="1:11" x14ac:dyDescent="0.25">
      <c r="A9" s="590">
        <v>31100</v>
      </c>
      <c r="B9" s="576" t="s">
        <v>1273</v>
      </c>
      <c r="C9" s="562">
        <v>1004609</v>
      </c>
      <c r="D9" s="581">
        <v>984726.65</v>
      </c>
      <c r="E9" s="562">
        <v>951512</v>
      </c>
      <c r="F9" s="648"/>
      <c r="G9" s="562">
        <v>951512</v>
      </c>
      <c r="H9" s="648"/>
      <c r="I9" s="639">
        <f>F9/C9</f>
        <v>0</v>
      </c>
      <c r="J9" s="650"/>
      <c r="K9" s="637"/>
    </row>
    <row r="10" spans="1:11" x14ac:dyDescent="0.25">
      <c r="A10" s="590">
        <v>31200</v>
      </c>
      <c r="B10" s="576" t="s">
        <v>12</v>
      </c>
      <c r="C10" s="562">
        <v>60000</v>
      </c>
      <c r="D10" s="581">
        <v>68887.03</v>
      </c>
      <c r="E10" s="562">
        <v>75000</v>
      </c>
      <c r="F10" s="648"/>
      <c r="G10" s="562">
        <v>75000</v>
      </c>
      <c r="H10" s="648"/>
      <c r="I10" s="639">
        <f>F10/C10</f>
        <v>0</v>
      </c>
      <c r="J10" s="651"/>
      <c r="K10" s="637"/>
    </row>
    <row r="11" spans="1:11" x14ac:dyDescent="0.25">
      <c r="A11" s="590">
        <v>31250</v>
      </c>
      <c r="B11" s="576" t="s">
        <v>13</v>
      </c>
      <c r="C11" s="562">
        <v>5000</v>
      </c>
      <c r="D11" s="581">
        <v>3569.91</v>
      </c>
      <c r="E11" s="562">
        <v>4000</v>
      </c>
      <c r="F11" s="648"/>
      <c r="G11" s="581">
        <v>4000</v>
      </c>
      <c r="H11" s="648"/>
      <c r="I11" s="639">
        <f>F11/C11</f>
        <v>0</v>
      </c>
      <c r="J11" s="651"/>
      <c r="K11" s="637"/>
    </row>
    <row r="12" spans="1:11" x14ac:dyDescent="0.25">
      <c r="A12" s="596"/>
      <c r="B12" s="583" t="s">
        <v>14</v>
      </c>
      <c r="C12" s="587">
        <f>SUM(C9:C11)</f>
        <v>1069609</v>
      </c>
      <c r="D12" s="587">
        <f t="shared" ref="D12:H12" si="0">SUM(D9:D11)</f>
        <v>1057183.5899999999</v>
      </c>
      <c r="E12" s="587">
        <f>SUM(E9:E11)</f>
        <v>1030512</v>
      </c>
      <c r="F12" s="648">
        <f t="shared" si="0"/>
        <v>0</v>
      </c>
      <c r="G12" s="587">
        <f>SUM(G9:G11)</f>
        <v>1030512</v>
      </c>
      <c r="H12" s="587">
        <f t="shared" si="0"/>
        <v>0</v>
      </c>
      <c r="I12" s="639">
        <f>C12/D12</f>
        <v>1.0117533133483467</v>
      </c>
      <c r="J12" s="651"/>
      <c r="K12" s="637"/>
    </row>
    <row r="13" spans="1:11" x14ac:dyDescent="0.25">
      <c r="A13" s="560"/>
      <c r="B13" s="561" t="s">
        <v>1198</v>
      </c>
      <c r="C13" s="581"/>
      <c r="D13" s="581"/>
      <c r="E13" s="581"/>
      <c r="F13" s="648"/>
      <c r="G13" s="581"/>
      <c r="H13" s="648"/>
      <c r="I13" s="581"/>
      <c r="J13" s="636"/>
      <c r="K13" s="652"/>
    </row>
    <row r="14" spans="1:11" x14ac:dyDescent="0.25">
      <c r="A14" s="590">
        <v>32090</v>
      </c>
      <c r="B14" s="576" t="s">
        <v>16</v>
      </c>
      <c r="C14" s="581">
        <v>50</v>
      </c>
      <c r="D14" s="581">
        <v>0</v>
      </c>
      <c r="E14" s="562">
        <v>50</v>
      </c>
      <c r="F14" s="648"/>
      <c r="G14" s="581">
        <v>50</v>
      </c>
      <c r="H14" s="648"/>
      <c r="I14" s="639">
        <f>F14/C14</f>
        <v>0</v>
      </c>
      <c r="J14" s="649"/>
      <c r="K14" s="653"/>
    </row>
    <row r="15" spans="1:11" x14ac:dyDescent="0.25">
      <c r="A15" s="590">
        <v>32100</v>
      </c>
      <c r="B15" s="576" t="s">
        <v>17</v>
      </c>
      <c r="C15" s="581">
        <v>500</v>
      </c>
      <c r="D15" s="581">
        <v>0</v>
      </c>
      <c r="E15" s="562">
        <v>500</v>
      </c>
      <c r="F15" s="648"/>
      <c r="G15" s="581">
        <v>500</v>
      </c>
      <c r="H15" s="648"/>
      <c r="I15" s="639">
        <f>F15/C15</f>
        <v>0</v>
      </c>
      <c r="J15" s="649"/>
      <c r="K15" s="638"/>
    </row>
    <row r="16" spans="1:11" x14ac:dyDescent="0.25">
      <c r="A16" s="590">
        <v>32190</v>
      </c>
      <c r="B16" s="576" t="s">
        <v>18</v>
      </c>
      <c r="C16" s="581">
        <v>250</v>
      </c>
      <c r="D16" s="581">
        <v>750</v>
      </c>
      <c r="E16" s="562">
        <v>750</v>
      </c>
      <c r="F16" s="648"/>
      <c r="G16" s="581">
        <v>750</v>
      </c>
      <c r="H16" s="648"/>
      <c r="I16" s="639">
        <v>2.5</v>
      </c>
      <c r="J16" s="649"/>
      <c r="K16" s="638"/>
    </row>
    <row r="17" spans="1:11" x14ac:dyDescent="0.25">
      <c r="A17" s="590">
        <v>32200</v>
      </c>
      <c r="B17" s="576" t="s">
        <v>19</v>
      </c>
      <c r="C17" s="581">
        <v>30000</v>
      </c>
      <c r="D17" s="581">
        <v>20485.43</v>
      </c>
      <c r="E17" s="562">
        <v>30000</v>
      </c>
      <c r="F17" s="648"/>
      <c r="G17" s="581">
        <v>30000</v>
      </c>
      <c r="H17" s="648"/>
      <c r="I17" s="639">
        <f t="shared" ref="I17:I33" si="1">F17/C17</f>
        <v>0</v>
      </c>
      <c r="J17" s="649"/>
      <c r="K17" s="638"/>
    </row>
    <row r="18" spans="1:11" x14ac:dyDescent="0.25">
      <c r="A18" s="590">
        <v>32201</v>
      </c>
      <c r="B18" s="576" t="s">
        <v>20</v>
      </c>
      <c r="C18" s="581">
        <v>0</v>
      </c>
      <c r="D18" s="581">
        <v>0</v>
      </c>
      <c r="E18" s="581">
        <v>0.01</v>
      </c>
      <c r="F18" s="648"/>
      <c r="G18" s="581">
        <v>0</v>
      </c>
      <c r="H18" s="648"/>
      <c r="I18" s="639" t="e">
        <f t="shared" si="1"/>
        <v>#DIV/0!</v>
      </c>
      <c r="J18" s="649"/>
      <c r="K18" s="638"/>
    </row>
    <row r="19" spans="1:11" x14ac:dyDescent="0.25">
      <c r="A19" s="590">
        <v>32202</v>
      </c>
      <c r="B19" s="576" t="s">
        <v>21</v>
      </c>
      <c r="C19" s="581">
        <v>0</v>
      </c>
      <c r="D19" s="581">
        <v>0</v>
      </c>
      <c r="E19" s="581">
        <v>0.01</v>
      </c>
      <c r="F19" s="648"/>
      <c r="G19" s="581">
        <v>0</v>
      </c>
      <c r="H19" s="648"/>
      <c r="I19" s="639" t="e">
        <f t="shared" si="1"/>
        <v>#DIV/0!</v>
      </c>
      <c r="J19" s="649"/>
      <c r="K19" s="638"/>
    </row>
    <row r="20" spans="1:11" x14ac:dyDescent="0.25">
      <c r="A20" s="590">
        <v>32210</v>
      </c>
      <c r="B20" s="576" t="s">
        <v>22</v>
      </c>
      <c r="C20" s="581">
        <v>2000</v>
      </c>
      <c r="D20" s="581">
        <v>1500</v>
      </c>
      <c r="E20" s="562">
        <v>4000</v>
      </c>
      <c r="F20" s="648"/>
      <c r="G20" s="581">
        <v>4000</v>
      </c>
      <c r="H20" s="648"/>
      <c r="I20" s="639">
        <f t="shared" si="1"/>
        <v>0</v>
      </c>
      <c r="J20" s="649"/>
      <c r="K20" s="654"/>
    </row>
    <row r="21" spans="1:11" x14ac:dyDescent="0.25">
      <c r="A21" s="590">
        <v>32220</v>
      </c>
      <c r="B21" s="576" t="s">
        <v>23</v>
      </c>
      <c r="C21" s="581"/>
      <c r="D21" s="581">
        <v>0</v>
      </c>
      <c r="E21" s="562">
        <v>0.01</v>
      </c>
      <c r="F21" s="648"/>
      <c r="G21" s="581">
        <v>0</v>
      </c>
      <c r="H21" s="648"/>
      <c r="I21" s="639" t="e">
        <f t="shared" si="1"/>
        <v>#DIV/0!</v>
      </c>
      <c r="J21" s="649"/>
      <c r="K21" s="638"/>
    </row>
    <row r="22" spans="1:11" x14ac:dyDescent="0.25">
      <c r="A22" s="590">
        <v>32221</v>
      </c>
      <c r="B22" s="576" t="s">
        <v>24</v>
      </c>
      <c r="C22" s="581"/>
      <c r="D22" s="581">
        <v>0</v>
      </c>
      <c r="E22" s="562">
        <v>0.01</v>
      </c>
      <c r="F22" s="648"/>
      <c r="G22" s="581">
        <v>0</v>
      </c>
      <c r="H22" s="648"/>
      <c r="I22" s="639" t="e">
        <f t="shared" si="1"/>
        <v>#DIV/0!</v>
      </c>
      <c r="J22" s="649"/>
      <c r="K22" s="638"/>
    </row>
    <row r="23" spans="1:11" x14ac:dyDescent="0.25">
      <c r="A23" s="590">
        <v>32290</v>
      </c>
      <c r="B23" s="576" t="s">
        <v>25</v>
      </c>
      <c r="C23" s="581">
        <v>50</v>
      </c>
      <c r="D23" s="581">
        <v>89</v>
      </c>
      <c r="E23" s="562">
        <v>100</v>
      </c>
      <c r="F23" s="648"/>
      <c r="G23" s="581">
        <v>100</v>
      </c>
      <c r="H23" s="648"/>
      <c r="I23" s="639">
        <f t="shared" si="1"/>
        <v>0</v>
      </c>
      <c r="J23" s="649"/>
      <c r="K23" s="638"/>
    </row>
    <row r="24" spans="1:11" x14ac:dyDescent="0.25">
      <c r="A24" s="590">
        <v>32300</v>
      </c>
      <c r="B24" s="576" t="s">
        <v>26</v>
      </c>
      <c r="C24" s="581"/>
      <c r="D24" s="581">
        <v>0</v>
      </c>
      <c r="E24" s="562">
        <v>0.01</v>
      </c>
      <c r="F24" s="648"/>
      <c r="G24" s="581">
        <v>0</v>
      </c>
      <c r="H24" s="648"/>
      <c r="I24" s="639" t="e">
        <f t="shared" si="1"/>
        <v>#DIV/0!</v>
      </c>
      <c r="J24" s="649"/>
      <c r="K24" s="638"/>
    </row>
    <row r="25" spans="1:11" x14ac:dyDescent="0.25">
      <c r="A25" s="590">
        <v>32320</v>
      </c>
      <c r="B25" s="576" t="s">
        <v>27</v>
      </c>
      <c r="C25" s="581">
        <v>50</v>
      </c>
      <c r="D25" s="581">
        <v>88.9</v>
      </c>
      <c r="E25" s="562">
        <v>90</v>
      </c>
      <c r="F25" s="648"/>
      <c r="G25" s="581">
        <v>90</v>
      </c>
      <c r="H25" s="648"/>
      <c r="I25" s="639">
        <f t="shared" si="1"/>
        <v>0</v>
      </c>
      <c r="J25" s="649"/>
      <c r="K25" s="568"/>
    </row>
    <row r="26" spans="1:11" x14ac:dyDescent="0.25">
      <c r="A26" s="590">
        <v>32330</v>
      </c>
      <c r="B26" s="576" t="s">
        <v>28</v>
      </c>
      <c r="C26" s="581">
        <v>225</v>
      </c>
      <c r="D26" s="581">
        <v>0</v>
      </c>
      <c r="E26" s="562">
        <v>225</v>
      </c>
      <c r="F26" s="648"/>
      <c r="G26" s="581">
        <v>225</v>
      </c>
      <c r="H26" s="648"/>
      <c r="I26" s="639">
        <f t="shared" si="1"/>
        <v>0</v>
      </c>
      <c r="J26" s="655"/>
      <c r="K26" s="638"/>
    </row>
    <row r="27" spans="1:11" x14ac:dyDescent="0.25">
      <c r="A27" s="590">
        <v>32340</v>
      </c>
      <c r="B27" s="576" t="s">
        <v>29</v>
      </c>
      <c r="C27" s="581">
        <v>4000</v>
      </c>
      <c r="D27" s="581">
        <v>7180.8</v>
      </c>
      <c r="E27" s="562">
        <v>8000</v>
      </c>
      <c r="F27" s="648"/>
      <c r="G27" s="581">
        <v>8000</v>
      </c>
      <c r="H27" s="648"/>
      <c r="I27" s="639">
        <f t="shared" si="1"/>
        <v>0</v>
      </c>
      <c r="J27" s="567"/>
      <c r="K27" s="568"/>
    </row>
    <row r="28" spans="1:11" x14ac:dyDescent="0.25">
      <c r="A28" s="590">
        <v>32342</v>
      </c>
      <c r="B28" s="576" t="s">
        <v>30</v>
      </c>
      <c r="C28" s="581">
        <v>0</v>
      </c>
      <c r="D28" s="581">
        <v>0</v>
      </c>
      <c r="E28" s="562">
        <v>0.01</v>
      </c>
      <c r="F28" s="648"/>
      <c r="G28" s="581">
        <v>0</v>
      </c>
      <c r="H28" s="648"/>
      <c r="I28" s="639" t="e">
        <f t="shared" si="1"/>
        <v>#DIV/0!</v>
      </c>
      <c r="J28" s="567"/>
      <c r="K28" s="568"/>
    </row>
    <row r="29" spans="1:11" x14ac:dyDescent="0.25">
      <c r="A29" s="590">
        <v>32370</v>
      </c>
      <c r="B29" s="576" t="s">
        <v>31</v>
      </c>
      <c r="C29" s="581">
        <v>0</v>
      </c>
      <c r="D29" s="581">
        <v>0</v>
      </c>
      <c r="E29" s="562">
        <v>0.01</v>
      </c>
      <c r="F29" s="648"/>
      <c r="G29" s="581">
        <v>0</v>
      </c>
      <c r="H29" s="648"/>
      <c r="I29" s="639" t="e">
        <f t="shared" si="1"/>
        <v>#DIV/0!</v>
      </c>
      <c r="J29" s="567"/>
      <c r="K29" s="568"/>
    </row>
    <row r="30" spans="1:11" x14ac:dyDescent="0.25">
      <c r="A30" s="590">
        <v>32660</v>
      </c>
      <c r="B30" s="576" t="s">
        <v>32</v>
      </c>
      <c r="C30" s="581">
        <v>1196</v>
      </c>
      <c r="D30" s="581">
        <v>882</v>
      </c>
      <c r="E30" s="562">
        <v>1200</v>
      </c>
      <c r="F30" s="648"/>
      <c r="G30" s="581">
        <v>1200</v>
      </c>
      <c r="H30" s="648"/>
      <c r="I30" s="639">
        <f t="shared" si="1"/>
        <v>0</v>
      </c>
      <c r="J30" s="567"/>
      <c r="K30" s="568"/>
    </row>
    <row r="31" spans="1:11" s="569" customFormat="1" x14ac:dyDescent="0.25">
      <c r="A31" s="590">
        <v>32671</v>
      </c>
      <c r="B31" s="576" t="s">
        <v>1126</v>
      </c>
      <c r="C31" s="581">
        <v>3400</v>
      </c>
      <c r="D31" s="581">
        <v>0</v>
      </c>
      <c r="E31" s="562">
        <v>0</v>
      </c>
      <c r="F31" s="672"/>
      <c r="G31" s="581">
        <v>0</v>
      </c>
      <c r="H31" s="672"/>
      <c r="I31" s="639">
        <f t="shared" si="1"/>
        <v>0</v>
      </c>
      <c r="J31" s="567"/>
      <c r="K31" s="568"/>
    </row>
    <row r="32" spans="1:11" s="569" customFormat="1" x14ac:dyDescent="0.25">
      <c r="A32" s="590">
        <v>32671</v>
      </c>
      <c r="B32" s="576" t="s">
        <v>356</v>
      </c>
      <c r="C32" s="581">
        <v>500</v>
      </c>
      <c r="D32" s="581">
        <v>100</v>
      </c>
      <c r="E32" s="562"/>
      <c r="F32" s="672"/>
      <c r="G32" s="581">
        <v>0</v>
      </c>
      <c r="H32" s="672"/>
      <c r="I32" s="639">
        <f t="shared" si="1"/>
        <v>0</v>
      </c>
      <c r="J32" s="567"/>
      <c r="K32" s="568"/>
    </row>
    <row r="33" spans="1:11" x14ac:dyDescent="0.25">
      <c r="A33" s="596"/>
      <c r="B33" s="583" t="s">
        <v>14</v>
      </c>
      <c r="C33" s="584">
        <f t="shared" ref="C33:H33" si="2">SUM(C14:C32)</f>
        <v>42221</v>
      </c>
      <c r="D33" s="584">
        <f t="shared" si="2"/>
        <v>31076.13</v>
      </c>
      <c r="E33" s="584">
        <f t="shared" si="2"/>
        <v>44915.070000000007</v>
      </c>
      <c r="F33" s="939">
        <f t="shared" si="2"/>
        <v>0</v>
      </c>
      <c r="G33" s="584">
        <f t="shared" si="2"/>
        <v>44915</v>
      </c>
      <c r="H33" s="584">
        <f t="shared" si="2"/>
        <v>0</v>
      </c>
      <c r="I33" s="639">
        <f t="shared" si="1"/>
        <v>0</v>
      </c>
      <c r="J33" s="632"/>
      <c r="K33" s="657"/>
    </row>
    <row r="34" spans="1:11" x14ac:dyDescent="0.25">
      <c r="A34" s="560"/>
      <c r="B34" s="561" t="s">
        <v>34</v>
      </c>
      <c r="C34" s="581"/>
      <c r="D34" s="581"/>
      <c r="E34" s="562"/>
      <c r="F34" s="648"/>
      <c r="G34" s="581"/>
      <c r="H34" s="648"/>
      <c r="I34" s="639"/>
      <c r="J34" s="658"/>
      <c r="K34" s="659"/>
    </row>
    <row r="35" spans="1:11" x14ac:dyDescent="0.25">
      <c r="A35" s="590">
        <v>33000</v>
      </c>
      <c r="B35" s="576" t="s">
        <v>35</v>
      </c>
      <c r="C35" s="581">
        <v>22307</v>
      </c>
      <c r="D35" s="581">
        <v>24408.720000000001</v>
      </c>
      <c r="E35" s="562">
        <v>26000</v>
      </c>
      <c r="F35" s="648"/>
      <c r="G35" s="581">
        <v>26000</v>
      </c>
      <c r="H35" s="648"/>
      <c r="I35" s="639">
        <v>223.07</v>
      </c>
      <c r="J35" s="658"/>
      <c r="K35" s="659"/>
    </row>
    <row r="36" spans="1:11" x14ac:dyDescent="0.25">
      <c r="A36" s="590">
        <v>33100</v>
      </c>
      <c r="B36" s="576" t="s">
        <v>36</v>
      </c>
      <c r="C36" s="581">
        <v>5337</v>
      </c>
      <c r="D36" s="581">
        <v>6582.65</v>
      </c>
      <c r="E36" s="562">
        <v>6750</v>
      </c>
      <c r="F36" s="648"/>
      <c r="G36" s="581">
        <v>6750</v>
      </c>
      <c r="H36" s="648"/>
      <c r="I36" s="639">
        <f>F36/C36</f>
        <v>0</v>
      </c>
      <c r="J36" s="658"/>
      <c r="K36" s="659"/>
    </row>
    <row r="37" spans="1:11" x14ac:dyDescent="0.25">
      <c r="A37" s="590">
        <v>33150</v>
      </c>
      <c r="B37" s="576" t="s">
        <v>37</v>
      </c>
      <c r="C37" s="581">
        <v>350</v>
      </c>
      <c r="D37" s="581">
        <v>0</v>
      </c>
      <c r="E37" s="562">
        <v>0</v>
      </c>
      <c r="F37" s="648"/>
      <c r="G37" s="581">
        <v>0</v>
      </c>
      <c r="H37" s="648"/>
      <c r="I37" s="639">
        <f>F37/C37</f>
        <v>0</v>
      </c>
      <c r="J37" s="658"/>
      <c r="K37" s="659"/>
    </row>
    <row r="38" spans="1:11" s="569" customFormat="1" x14ac:dyDescent="0.25">
      <c r="A38" s="590">
        <v>33175</v>
      </c>
      <c r="B38" s="576" t="s">
        <v>1290</v>
      </c>
      <c r="C38" s="581">
        <v>375000</v>
      </c>
      <c r="D38" s="581">
        <v>0</v>
      </c>
      <c r="E38" s="562">
        <v>375000</v>
      </c>
      <c r="F38" s="672"/>
      <c r="G38" s="581">
        <v>375000</v>
      </c>
      <c r="H38" s="672"/>
      <c r="I38" s="639"/>
      <c r="J38" s="658"/>
      <c r="K38" s="659"/>
    </row>
    <row r="39" spans="1:11" s="569" customFormat="1" x14ac:dyDescent="0.25">
      <c r="A39" s="590">
        <v>33200</v>
      </c>
      <c r="B39" s="576" t="s">
        <v>38</v>
      </c>
      <c r="C39" s="581">
        <v>8316</v>
      </c>
      <c r="D39" s="581">
        <v>8316</v>
      </c>
      <c r="E39" s="562">
        <v>8316</v>
      </c>
      <c r="F39" s="672"/>
      <c r="G39" s="581">
        <v>8316</v>
      </c>
      <c r="H39" s="672"/>
      <c r="I39" s="639">
        <f>F39/C39</f>
        <v>0</v>
      </c>
      <c r="J39" s="661"/>
      <c r="K39" s="659"/>
    </row>
    <row r="40" spans="1:11" s="569" customFormat="1" x14ac:dyDescent="0.25">
      <c r="A40" s="590">
        <v>33770</v>
      </c>
      <c r="B40" s="576" t="s">
        <v>1127</v>
      </c>
      <c r="C40" s="581">
        <v>0</v>
      </c>
      <c r="D40" s="581">
        <v>0</v>
      </c>
      <c r="E40" s="562">
        <v>0</v>
      </c>
      <c r="F40" s="672"/>
      <c r="G40" s="581">
        <v>0</v>
      </c>
      <c r="H40" s="672"/>
      <c r="I40" s="639"/>
      <c r="J40" s="661"/>
      <c r="K40" s="659"/>
    </row>
    <row r="41" spans="1:11" s="569" customFormat="1" x14ac:dyDescent="0.25">
      <c r="A41" s="590">
        <v>33771</v>
      </c>
      <c r="B41" s="576" t="s">
        <v>1128</v>
      </c>
      <c r="C41" s="581">
        <v>42400</v>
      </c>
      <c r="D41" s="581">
        <v>0</v>
      </c>
      <c r="E41" s="562">
        <v>0</v>
      </c>
      <c r="F41" s="672"/>
      <c r="G41" s="581">
        <v>0</v>
      </c>
      <c r="H41" s="672"/>
      <c r="I41" s="639"/>
      <c r="J41" s="661"/>
      <c r="K41" s="659"/>
    </row>
    <row r="42" spans="1:11" s="569" customFormat="1" x14ac:dyDescent="0.25">
      <c r="A42" s="590">
        <v>33882</v>
      </c>
      <c r="B42" s="576" t="s">
        <v>39</v>
      </c>
      <c r="C42" s="581"/>
      <c r="D42" s="581">
        <v>18608.490000000002</v>
      </c>
      <c r="E42" s="562">
        <v>0</v>
      </c>
      <c r="F42" s="672"/>
      <c r="G42" s="581">
        <v>0</v>
      </c>
      <c r="H42" s="672"/>
      <c r="I42" s="639" t="e">
        <f t="shared" ref="I42:I53" si="3">F42/C42</f>
        <v>#DIV/0!</v>
      </c>
      <c r="J42" s="663"/>
      <c r="K42" s="662"/>
    </row>
    <row r="43" spans="1:11" s="569" customFormat="1" x14ac:dyDescent="0.25">
      <c r="A43" s="590">
        <v>33883</v>
      </c>
      <c r="B43" s="576" t="s">
        <v>40</v>
      </c>
      <c r="C43" s="581">
        <v>10000</v>
      </c>
      <c r="D43" s="581">
        <v>13000</v>
      </c>
      <c r="E43" s="562">
        <v>10000</v>
      </c>
      <c r="F43" s="672"/>
      <c r="G43" s="581">
        <v>10000</v>
      </c>
      <c r="H43" s="672"/>
      <c r="I43" s="639">
        <f t="shared" si="3"/>
        <v>0</v>
      </c>
      <c r="J43" s="663"/>
      <c r="K43" s="662"/>
    </row>
    <row r="44" spans="1:11" s="569" customFormat="1" x14ac:dyDescent="0.25">
      <c r="A44" s="590">
        <v>33884</v>
      </c>
      <c r="B44" s="576" t="s">
        <v>1054</v>
      </c>
      <c r="C44" s="581"/>
      <c r="D44" s="581">
        <v>34788</v>
      </c>
      <c r="E44" s="562">
        <v>0</v>
      </c>
      <c r="F44" s="672"/>
      <c r="G44" s="581">
        <v>0</v>
      </c>
      <c r="H44" s="672"/>
      <c r="I44" s="639" t="e">
        <f t="shared" si="3"/>
        <v>#DIV/0!</v>
      </c>
      <c r="J44" s="663"/>
      <c r="K44" s="662"/>
    </row>
    <row r="45" spans="1:11" s="569" customFormat="1" x14ac:dyDescent="0.25">
      <c r="A45" s="590">
        <v>33885</v>
      </c>
      <c r="B45" s="576" t="s">
        <v>1055</v>
      </c>
      <c r="C45" s="581"/>
      <c r="D45" s="581">
        <v>0</v>
      </c>
      <c r="E45" s="562">
        <v>0</v>
      </c>
      <c r="F45" s="672"/>
      <c r="G45" s="581">
        <v>0</v>
      </c>
      <c r="H45" s="672"/>
      <c r="I45" s="639" t="e">
        <f t="shared" si="3"/>
        <v>#DIV/0!</v>
      </c>
      <c r="J45" s="663"/>
      <c r="K45" s="662"/>
    </row>
    <row r="46" spans="1:11" s="569" customFormat="1" x14ac:dyDescent="0.25">
      <c r="A46" s="590">
        <v>33886</v>
      </c>
      <c r="B46" s="576" t="s">
        <v>1056</v>
      </c>
      <c r="C46" s="581"/>
      <c r="D46" s="581">
        <v>24880</v>
      </c>
      <c r="E46" s="562">
        <v>0</v>
      </c>
      <c r="F46" s="672"/>
      <c r="G46" s="581">
        <v>0</v>
      </c>
      <c r="H46" s="672"/>
      <c r="I46" s="639" t="e">
        <f t="shared" si="3"/>
        <v>#DIV/0!</v>
      </c>
      <c r="J46" s="663"/>
      <c r="K46" s="662"/>
    </row>
    <row r="47" spans="1:11" s="569" customFormat="1" x14ac:dyDescent="0.25">
      <c r="A47" s="590">
        <v>33887</v>
      </c>
      <c r="B47" s="576" t="s">
        <v>1057</v>
      </c>
      <c r="C47" s="581"/>
      <c r="D47" s="581">
        <v>0</v>
      </c>
      <c r="E47" s="562">
        <v>0</v>
      </c>
      <c r="F47" s="672"/>
      <c r="G47" s="581">
        <v>0</v>
      </c>
      <c r="H47" s="672"/>
      <c r="I47" s="639" t="e">
        <f t="shared" si="3"/>
        <v>#DIV/0!</v>
      </c>
      <c r="J47" s="663"/>
      <c r="K47" s="662"/>
    </row>
    <row r="48" spans="1:11" x14ac:dyDescent="0.25">
      <c r="A48" s="590">
        <v>33900</v>
      </c>
      <c r="B48" s="576" t="s">
        <v>41</v>
      </c>
      <c r="C48" s="581"/>
      <c r="D48" s="581">
        <v>109079.67999999999</v>
      </c>
      <c r="E48" s="562">
        <v>0</v>
      </c>
      <c r="F48" s="648"/>
      <c r="G48" s="581">
        <v>0</v>
      </c>
      <c r="H48" s="648"/>
      <c r="I48" s="639" t="e">
        <f t="shared" si="3"/>
        <v>#DIV/0!</v>
      </c>
      <c r="J48" s="567"/>
      <c r="K48" s="662"/>
    </row>
    <row r="49" spans="1:11" x14ac:dyDescent="0.25">
      <c r="A49" s="590">
        <v>33901</v>
      </c>
      <c r="B49" s="576" t="s">
        <v>42</v>
      </c>
      <c r="C49" s="581"/>
      <c r="D49" s="581">
        <v>250</v>
      </c>
      <c r="E49" s="562">
        <f>E48*0.05</f>
        <v>0</v>
      </c>
      <c r="F49" s="648"/>
      <c r="G49" s="581">
        <v>0</v>
      </c>
      <c r="H49" s="648"/>
      <c r="I49" s="639" t="e">
        <f t="shared" si="3"/>
        <v>#DIV/0!</v>
      </c>
      <c r="J49" s="567"/>
      <c r="K49" s="662"/>
    </row>
    <row r="50" spans="1:11" x14ac:dyDescent="0.25">
      <c r="A50" s="590">
        <v>33902</v>
      </c>
      <c r="B50" s="576" t="s">
        <v>43</v>
      </c>
      <c r="C50" s="581"/>
      <c r="D50" s="581">
        <v>0</v>
      </c>
      <c r="E50" s="562">
        <v>0</v>
      </c>
      <c r="F50" s="648"/>
      <c r="G50" s="581">
        <v>0</v>
      </c>
      <c r="H50" s="648"/>
      <c r="I50" s="639" t="e">
        <f t="shared" si="3"/>
        <v>#DIV/0!</v>
      </c>
      <c r="J50" s="567"/>
      <c r="K50" s="662"/>
    </row>
    <row r="51" spans="1:11" x14ac:dyDescent="0.25">
      <c r="A51" s="590">
        <v>33903</v>
      </c>
      <c r="B51" s="576" t="s">
        <v>44</v>
      </c>
      <c r="C51" s="581"/>
      <c r="D51" s="581">
        <v>0</v>
      </c>
      <c r="E51" s="562">
        <v>0</v>
      </c>
      <c r="F51" s="648"/>
      <c r="G51" s="581">
        <v>0</v>
      </c>
      <c r="H51" s="648"/>
      <c r="I51" s="639" t="e">
        <f t="shared" si="3"/>
        <v>#DIV/0!</v>
      </c>
      <c r="J51" s="567"/>
      <c r="K51" s="662"/>
    </row>
    <row r="52" spans="1:11" s="569" customFormat="1" x14ac:dyDescent="0.25">
      <c r="A52" s="590">
        <v>33904</v>
      </c>
      <c r="B52" s="576" t="s">
        <v>1070</v>
      </c>
      <c r="C52" s="581"/>
      <c r="D52" s="581">
        <v>103981.2</v>
      </c>
      <c r="E52" s="562">
        <v>137754</v>
      </c>
      <c r="F52" s="672"/>
      <c r="G52" s="581">
        <v>137754</v>
      </c>
      <c r="H52" s="672"/>
      <c r="I52" s="639" t="e">
        <f t="shared" si="3"/>
        <v>#DIV/0!</v>
      </c>
      <c r="J52" s="567"/>
      <c r="K52" s="662"/>
    </row>
    <row r="53" spans="1:11" s="569" customFormat="1" x14ac:dyDescent="0.25">
      <c r="A53" s="590">
        <v>33905</v>
      </c>
      <c r="B53" s="576" t="s">
        <v>1071</v>
      </c>
      <c r="C53" s="581"/>
      <c r="D53" s="581"/>
      <c r="E53" s="562"/>
      <c r="F53" s="672"/>
      <c r="G53" s="581"/>
      <c r="H53" s="672"/>
      <c r="I53" s="639" t="e">
        <f t="shared" si="3"/>
        <v>#DIV/0!</v>
      </c>
      <c r="J53" s="567"/>
      <c r="K53" s="662"/>
    </row>
    <row r="54" spans="1:11" s="569" customFormat="1" x14ac:dyDescent="0.25">
      <c r="A54" s="899">
        <v>33906</v>
      </c>
      <c r="B54" s="900" t="s">
        <v>1186</v>
      </c>
      <c r="C54" s="581"/>
      <c r="D54" s="581"/>
      <c r="E54" s="562">
        <v>315400</v>
      </c>
      <c r="F54" s="672"/>
      <c r="G54" s="581">
        <v>315400</v>
      </c>
      <c r="H54" s="672"/>
      <c r="I54" s="639"/>
      <c r="J54" s="567"/>
      <c r="K54" s="662"/>
    </row>
    <row r="55" spans="1:11" s="569" customFormat="1" x14ac:dyDescent="0.25">
      <c r="A55" s="899">
        <v>33907</v>
      </c>
      <c r="B55" s="900" t="s">
        <v>1187</v>
      </c>
      <c r="C55" s="581"/>
      <c r="D55" s="581"/>
      <c r="E55" s="562"/>
      <c r="F55" s="672"/>
      <c r="G55" s="581"/>
      <c r="H55" s="672"/>
      <c r="I55" s="639"/>
      <c r="J55" s="567"/>
      <c r="K55" s="662"/>
    </row>
    <row r="56" spans="1:11" s="569" customFormat="1" x14ac:dyDescent="0.25">
      <c r="A56" s="899">
        <v>33908</v>
      </c>
      <c r="B56" s="900" t="s">
        <v>1267</v>
      </c>
      <c r="C56" s="581"/>
      <c r="D56" s="581"/>
      <c r="E56" s="562">
        <v>105000</v>
      </c>
      <c r="F56" s="672"/>
      <c r="G56" s="581">
        <v>105000</v>
      </c>
      <c r="H56" s="672"/>
      <c r="I56" s="639"/>
      <c r="J56" s="567"/>
      <c r="K56" s="662"/>
    </row>
    <row r="57" spans="1:11" s="569" customFormat="1" x14ac:dyDescent="0.25">
      <c r="A57" s="899">
        <v>33909</v>
      </c>
      <c r="B57" s="900" t="s">
        <v>1268</v>
      </c>
      <c r="C57" s="581"/>
      <c r="D57" s="581"/>
      <c r="E57" s="562"/>
      <c r="F57" s="672"/>
      <c r="G57" s="581"/>
      <c r="H57" s="672"/>
      <c r="I57" s="639"/>
      <c r="J57" s="567"/>
      <c r="K57" s="662"/>
    </row>
    <row r="58" spans="1:11" s="569" customFormat="1" x14ac:dyDescent="0.25">
      <c r="A58" s="590">
        <v>33950</v>
      </c>
      <c r="B58" s="576" t="s">
        <v>1182</v>
      </c>
      <c r="C58" s="581"/>
      <c r="D58" s="581"/>
      <c r="E58" s="562"/>
      <c r="F58" s="672"/>
      <c r="G58" s="581"/>
      <c r="H58" s="672"/>
      <c r="I58" s="639" t="e">
        <f>F58/C58</f>
        <v>#DIV/0!</v>
      </c>
      <c r="J58" s="664"/>
      <c r="K58" s="665"/>
    </row>
    <row r="59" spans="1:11" s="569" customFormat="1" x14ac:dyDescent="0.25">
      <c r="A59" s="590">
        <v>33951</v>
      </c>
      <c r="B59" s="576" t="s">
        <v>1181</v>
      </c>
      <c r="C59" s="581"/>
      <c r="D59" s="581">
        <v>49924.58</v>
      </c>
      <c r="E59" s="562"/>
      <c r="F59" s="672"/>
      <c r="G59" s="581"/>
      <c r="H59" s="672"/>
      <c r="I59" s="639" t="e">
        <f>F59/C59</f>
        <v>#DIV/0!</v>
      </c>
      <c r="J59" s="664"/>
      <c r="K59" s="665"/>
    </row>
    <row r="60" spans="1:11" s="569" customFormat="1" x14ac:dyDescent="0.25">
      <c r="A60" s="590">
        <v>33952</v>
      </c>
      <c r="B60" s="576" t="s">
        <v>1180</v>
      </c>
      <c r="C60" s="581"/>
      <c r="D60" s="581"/>
      <c r="E60" s="562"/>
      <c r="F60" s="672"/>
      <c r="G60" s="581"/>
      <c r="H60" s="672"/>
      <c r="I60" s="639" t="e">
        <f>F60/C60</f>
        <v>#DIV/0!</v>
      </c>
      <c r="J60" s="664"/>
      <c r="K60" s="665"/>
    </row>
    <row r="61" spans="1:11" s="569" customFormat="1" x14ac:dyDescent="0.25">
      <c r="A61" s="590">
        <v>33953</v>
      </c>
      <c r="B61" s="576" t="s">
        <v>1179</v>
      </c>
      <c r="C61" s="581"/>
      <c r="D61" s="581"/>
      <c r="E61" s="562"/>
      <c r="F61" s="672"/>
      <c r="G61" s="581"/>
      <c r="H61" s="672"/>
      <c r="I61" s="639" t="e">
        <f>F61/C61</f>
        <v>#DIV/0!</v>
      </c>
      <c r="J61" s="664"/>
      <c r="K61" s="665"/>
    </row>
    <row r="62" spans="1:11" s="569" customFormat="1" x14ac:dyDescent="0.25">
      <c r="A62" s="590">
        <v>33954</v>
      </c>
      <c r="B62" s="576" t="s">
        <v>1178</v>
      </c>
      <c r="C62" s="581"/>
      <c r="D62" s="581">
        <v>124811.48</v>
      </c>
      <c r="E62" s="562"/>
      <c r="F62" s="672"/>
      <c r="G62" s="581"/>
      <c r="H62" s="672"/>
      <c r="I62" s="639" t="e">
        <f>F62/C62</f>
        <v>#DIV/0!</v>
      </c>
      <c r="J62" s="664"/>
      <c r="K62" s="665"/>
    </row>
    <row r="63" spans="1:11" s="569" customFormat="1" x14ac:dyDescent="0.25">
      <c r="A63" s="899">
        <v>33955</v>
      </c>
      <c r="B63" s="900" t="s">
        <v>1177</v>
      </c>
      <c r="C63" s="581"/>
      <c r="D63" s="581">
        <v>0</v>
      </c>
      <c r="E63" s="562"/>
      <c r="F63" s="672"/>
      <c r="G63" s="581"/>
      <c r="H63" s="672"/>
      <c r="I63" s="639"/>
      <c r="J63" s="664"/>
      <c r="K63" s="665"/>
    </row>
    <row r="64" spans="1:11" s="569" customFormat="1" x14ac:dyDescent="0.25">
      <c r="A64" s="899">
        <v>33956</v>
      </c>
      <c r="B64" s="900" t="s">
        <v>1176</v>
      </c>
      <c r="C64" s="581"/>
      <c r="D64" s="581">
        <v>0</v>
      </c>
      <c r="E64" s="562"/>
      <c r="F64" s="672"/>
      <c r="G64" s="581"/>
      <c r="H64" s="672"/>
      <c r="I64" s="639"/>
      <c r="J64" s="664"/>
      <c r="K64" s="665"/>
    </row>
    <row r="65" spans="1:11" s="569" customFormat="1" x14ac:dyDescent="0.25">
      <c r="A65" s="899">
        <v>33957</v>
      </c>
      <c r="B65" s="900" t="s">
        <v>1276</v>
      </c>
      <c r="C65" s="581"/>
      <c r="D65" s="581">
        <v>0</v>
      </c>
      <c r="E65" s="562">
        <v>41295</v>
      </c>
      <c r="F65" s="672"/>
      <c r="G65" s="581">
        <v>41295</v>
      </c>
      <c r="H65" s="672"/>
      <c r="I65" s="639"/>
      <c r="J65" s="664"/>
      <c r="K65" s="665"/>
    </row>
    <row r="66" spans="1:11" x14ac:dyDescent="0.25">
      <c r="A66" s="596"/>
      <c r="B66" s="583" t="s">
        <v>14</v>
      </c>
      <c r="C66" s="584">
        <f t="shared" ref="C66:H66" si="4">SUM(C35:C65)</f>
        <v>463710</v>
      </c>
      <c r="D66" s="584">
        <f t="shared" si="4"/>
        <v>518630.8</v>
      </c>
      <c r="E66" s="584">
        <f>SUM(E35:E65)</f>
        <v>1025515</v>
      </c>
      <c r="F66" s="939">
        <f t="shared" si="4"/>
        <v>0</v>
      </c>
      <c r="G66" s="584">
        <f>SUM(G35:G65)</f>
        <v>1025515</v>
      </c>
      <c r="H66" s="648">
        <f t="shared" si="4"/>
        <v>0</v>
      </c>
      <c r="I66" s="639">
        <f>F66/C66</f>
        <v>0</v>
      </c>
      <c r="J66" s="636"/>
      <c r="K66" s="652"/>
    </row>
    <row r="67" spans="1:11" x14ac:dyDescent="0.25">
      <c r="A67" s="560"/>
      <c r="B67" s="561" t="s">
        <v>45</v>
      </c>
      <c r="C67" s="564"/>
      <c r="D67" s="581"/>
      <c r="E67" s="581"/>
      <c r="F67" s="648"/>
      <c r="G67" s="581"/>
      <c r="H67" s="648"/>
      <c r="I67" s="581"/>
      <c r="J67" s="649"/>
      <c r="K67" s="653"/>
    </row>
    <row r="68" spans="1:11" x14ac:dyDescent="0.25">
      <c r="A68" s="590">
        <v>34110</v>
      </c>
      <c r="B68" s="576" t="s">
        <v>1199</v>
      </c>
      <c r="C68" s="581">
        <v>85000</v>
      </c>
      <c r="D68" s="581">
        <v>95485.64</v>
      </c>
      <c r="E68" s="902">
        <v>98000</v>
      </c>
      <c r="F68" s="648"/>
      <c r="G68" s="581">
        <v>98000</v>
      </c>
      <c r="H68" s="648"/>
      <c r="I68" s="639">
        <f t="shared" ref="I68:I89" si="5">F68/C68</f>
        <v>0</v>
      </c>
      <c r="J68" s="649"/>
      <c r="K68" s="638"/>
    </row>
    <row r="69" spans="1:11" x14ac:dyDescent="0.25">
      <c r="A69" s="590">
        <v>34120</v>
      </c>
      <c r="B69" s="576" t="s">
        <v>46</v>
      </c>
      <c r="C69" s="581"/>
      <c r="D69" s="581">
        <v>0</v>
      </c>
      <c r="E69" s="562">
        <v>0</v>
      </c>
      <c r="F69" s="648"/>
      <c r="G69" s="581">
        <v>0</v>
      </c>
      <c r="H69" s="648"/>
      <c r="I69" s="639" t="e">
        <f t="shared" si="5"/>
        <v>#DIV/0!</v>
      </c>
      <c r="J69" s="649"/>
      <c r="K69" s="660"/>
    </row>
    <row r="70" spans="1:11" x14ac:dyDescent="0.25">
      <c r="A70" s="590">
        <v>34121</v>
      </c>
      <c r="B70" s="576" t="s">
        <v>47</v>
      </c>
      <c r="C70" s="566"/>
      <c r="D70" s="581">
        <v>0</v>
      </c>
      <c r="E70" s="562">
        <v>0</v>
      </c>
      <c r="F70" s="648"/>
      <c r="G70" s="581">
        <v>0</v>
      </c>
      <c r="H70" s="648"/>
      <c r="I70" s="639" t="e">
        <f t="shared" si="5"/>
        <v>#DIV/0!</v>
      </c>
      <c r="J70" s="649"/>
      <c r="K70" s="660"/>
    </row>
    <row r="71" spans="1:11" x14ac:dyDescent="0.25">
      <c r="A71" s="590">
        <v>34130</v>
      </c>
      <c r="B71" s="576" t="s">
        <v>1200</v>
      </c>
      <c r="C71" s="581">
        <v>200</v>
      </c>
      <c r="D71" s="581">
        <v>0</v>
      </c>
      <c r="E71" s="562">
        <v>0</v>
      </c>
      <c r="F71" s="648"/>
      <c r="G71" s="581">
        <v>0</v>
      </c>
      <c r="H71" s="648"/>
      <c r="I71" s="639">
        <f t="shared" si="5"/>
        <v>0</v>
      </c>
      <c r="J71" s="649"/>
      <c r="K71" s="660"/>
    </row>
    <row r="72" spans="1:11" x14ac:dyDescent="0.25">
      <c r="A72" s="590">
        <v>34140</v>
      </c>
      <c r="B72" s="576" t="s">
        <v>48</v>
      </c>
      <c r="C72" s="581">
        <v>30000</v>
      </c>
      <c r="D72" s="581">
        <v>28312.78</v>
      </c>
      <c r="E72" s="562">
        <v>30000</v>
      </c>
      <c r="F72" s="648"/>
      <c r="G72" s="581">
        <v>30000</v>
      </c>
      <c r="H72" s="648"/>
      <c r="I72" s="639">
        <f t="shared" si="5"/>
        <v>0</v>
      </c>
      <c r="J72" s="649"/>
      <c r="K72" s="638"/>
    </row>
    <row r="73" spans="1:11" x14ac:dyDescent="0.25">
      <c r="A73" s="590">
        <v>34150</v>
      </c>
      <c r="B73" s="576" t="s">
        <v>49</v>
      </c>
      <c r="C73" s="581">
        <v>250</v>
      </c>
      <c r="D73" s="581">
        <v>0</v>
      </c>
      <c r="E73" s="562">
        <v>0</v>
      </c>
      <c r="F73" s="648"/>
      <c r="G73" s="581">
        <v>0</v>
      </c>
      <c r="H73" s="648"/>
      <c r="I73" s="639">
        <f t="shared" si="5"/>
        <v>0</v>
      </c>
      <c r="J73" s="649"/>
      <c r="K73" s="654"/>
    </row>
    <row r="74" spans="1:11" x14ac:dyDescent="0.25">
      <c r="A74" s="590">
        <v>34180</v>
      </c>
      <c r="B74" s="576" t="s">
        <v>50</v>
      </c>
      <c r="C74" s="581"/>
      <c r="D74" s="581">
        <v>25</v>
      </c>
      <c r="E74" s="562">
        <v>25</v>
      </c>
      <c r="F74" s="648"/>
      <c r="G74" s="581">
        <v>25</v>
      </c>
      <c r="H74" s="648"/>
      <c r="I74" s="639" t="e">
        <f t="shared" si="5"/>
        <v>#DIV/0!</v>
      </c>
      <c r="J74" s="649"/>
      <c r="K74" s="638"/>
    </row>
    <row r="75" spans="1:11" x14ac:dyDescent="0.25">
      <c r="A75" s="590">
        <v>34190</v>
      </c>
      <c r="B75" s="576" t="s">
        <v>51</v>
      </c>
      <c r="C75" s="581"/>
      <c r="D75" s="581">
        <v>339.45</v>
      </c>
      <c r="E75" s="562">
        <v>0.01</v>
      </c>
      <c r="F75" s="648"/>
      <c r="G75" s="581">
        <v>0</v>
      </c>
      <c r="H75" s="648"/>
      <c r="I75" s="639" t="e">
        <f t="shared" si="5"/>
        <v>#DIV/0!</v>
      </c>
      <c r="J75" s="649"/>
      <c r="K75" s="638"/>
    </row>
    <row r="76" spans="1:11" x14ac:dyDescent="0.25">
      <c r="A76" s="590">
        <v>34200</v>
      </c>
      <c r="B76" s="576" t="s">
        <v>52</v>
      </c>
      <c r="C76" s="581">
        <v>200</v>
      </c>
      <c r="D76" s="581">
        <v>19703.060000000001</v>
      </c>
      <c r="E76" s="562">
        <v>10000</v>
      </c>
      <c r="F76" s="648"/>
      <c r="G76" s="581">
        <v>10000</v>
      </c>
      <c r="H76" s="648"/>
      <c r="I76" s="639">
        <f t="shared" si="5"/>
        <v>0</v>
      </c>
      <c r="J76" s="649"/>
      <c r="K76" s="638"/>
    </row>
    <row r="77" spans="1:11" x14ac:dyDescent="0.25">
      <c r="A77" s="590">
        <v>34210</v>
      </c>
      <c r="B77" s="576" t="s">
        <v>53</v>
      </c>
      <c r="C77" s="581">
        <v>50</v>
      </c>
      <c r="D77" s="581">
        <v>0</v>
      </c>
      <c r="E77" s="562">
        <v>0</v>
      </c>
      <c r="F77" s="648"/>
      <c r="G77" s="581">
        <v>0</v>
      </c>
      <c r="H77" s="648"/>
      <c r="I77" s="639">
        <f t="shared" si="5"/>
        <v>0</v>
      </c>
      <c r="J77" s="567"/>
      <c r="K77" s="638"/>
    </row>
    <row r="78" spans="1:11" x14ac:dyDescent="0.25">
      <c r="A78" s="590">
        <v>34211</v>
      </c>
      <c r="B78" s="576" t="s">
        <v>54</v>
      </c>
      <c r="C78" s="581">
        <v>5000</v>
      </c>
      <c r="D78" s="581">
        <v>8872.0300000000007</v>
      </c>
      <c r="E78" s="562">
        <v>9500</v>
      </c>
      <c r="F78" s="648"/>
      <c r="G78" s="581">
        <v>9500</v>
      </c>
      <c r="H78" s="648"/>
      <c r="I78" s="639">
        <f t="shared" si="5"/>
        <v>0</v>
      </c>
      <c r="J78" s="567"/>
      <c r="K78" s="638"/>
    </row>
    <row r="79" spans="1:11" x14ac:dyDescent="0.25">
      <c r="A79" s="590">
        <v>34212</v>
      </c>
      <c r="B79" s="576" t="s">
        <v>1210</v>
      </c>
      <c r="C79" s="581"/>
      <c r="D79" s="581">
        <v>0</v>
      </c>
      <c r="E79" s="562">
        <v>0.01</v>
      </c>
      <c r="F79" s="648"/>
      <c r="G79" s="581">
        <v>0</v>
      </c>
      <c r="H79" s="648"/>
      <c r="I79" s="639" t="e">
        <f t="shared" si="5"/>
        <v>#DIV/0!</v>
      </c>
      <c r="J79" s="567"/>
      <c r="K79" s="638"/>
    </row>
    <row r="80" spans="1:11" x14ac:dyDescent="0.25">
      <c r="A80" s="590">
        <v>34220</v>
      </c>
      <c r="B80" s="576" t="s">
        <v>55</v>
      </c>
      <c r="C80" s="581"/>
      <c r="D80" s="581">
        <v>0</v>
      </c>
      <c r="E80" s="562">
        <v>0.01</v>
      </c>
      <c r="F80" s="648"/>
      <c r="G80" s="581">
        <v>0</v>
      </c>
      <c r="H80" s="648"/>
      <c r="I80" s="639" t="e">
        <f t="shared" si="5"/>
        <v>#DIV/0!</v>
      </c>
      <c r="J80" s="567"/>
      <c r="K80" s="638"/>
    </row>
    <row r="81" spans="1:11" x14ac:dyDescent="0.25">
      <c r="A81" s="590">
        <v>34240</v>
      </c>
      <c r="B81" s="576" t="s">
        <v>56</v>
      </c>
      <c r="C81" s="581"/>
      <c r="D81" s="581">
        <v>0</v>
      </c>
      <c r="E81" s="562">
        <v>0.01</v>
      </c>
      <c r="F81" s="648"/>
      <c r="G81" s="581">
        <v>0</v>
      </c>
      <c r="H81" s="648"/>
      <c r="I81" s="639" t="e">
        <f t="shared" si="5"/>
        <v>#DIV/0!</v>
      </c>
      <c r="J81" s="649"/>
      <c r="K81" s="638"/>
    </row>
    <row r="82" spans="1:11" x14ac:dyDescent="0.25">
      <c r="A82" s="590">
        <v>34290</v>
      </c>
      <c r="B82" s="576" t="s">
        <v>57</v>
      </c>
      <c r="C82" s="581"/>
      <c r="D82" s="581">
        <v>0</v>
      </c>
      <c r="E82" s="562">
        <v>0.01</v>
      </c>
      <c r="F82" s="648"/>
      <c r="G82" s="581">
        <v>0</v>
      </c>
      <c r="H82" s="648"/>
      <c r="I82" s="639" t="e">
        <f t="shared" si="5"/>
        <v>#DIV/0!</v>
      </c>
      <c r="J82" s="649"/>
      <c r="K82" s="638"/>
    </row>
    <row r="83" spans="1:11" x14ac:dyDescent="0.25">
      <c r="A83" s="899">
        <v>34291</v>
      </c>
      <c r="B83" s="900" t="s">
        <v>1185</v>
      </c>
      <c r="C83" s="581"/>
      <c r="D83" s="581">
        <v>11726.26</v>
      </c>
      <c r="E83" s="562">
        <v>0.01</v>
      </c>
      <c r="F83" s="648"/>
      <c r="G83" s="581">
        <v>0</v>
      </c>
      <c r="H83" s="648"/>
      <c r="I83" s="639" t="e">
        <f t="shared" si="5"/>
        <v>#DIV/0!</v>
      </c>
      <c r="J83" s="649"/>
      <c r="K83" s="638"/>
    </row>
    <row r="84" spans="1:11" x14ac:dyDescent="0.25">
      <c r="A84" s="899">
        <v>34341</v>
      </c>
      <c r="B84" s="900" t="s">
        <v>1219</v>
      </c>
      <c r="C84" s="581"/>
      <c r="D84" s="581">
        <v>0</v>
      </c>
      <c r="E84" s="562">
        <v>0.01</v>
      </c>
      <c r="F84" s="648"/>
      <c r="G84" s="581">
        <v>0</v>
      </c>
      <c r="H84" s="648"/>
      <c r="I84" s="639" t="e">
        <f t="shared" si="5"/>
        <v>#DIV/0!</v>
      </c>
      <c r="J84" s="561"/>
      <c r="K84" s="561"/>
    </row>
    <row r="85" spans="1:11" x14ac:dyDescent="0.25">
      <c r="A85" s="899">
        <v>34342</v>
      </c>
      <c r="B85" s="900" t="s">
        <v>58</v>
      </c>
      <c r="C85" s="581"/>
      <c r="D85" s="581">
        <v>0</v>
      </c>
      <c r="E85" s="562"/>
      <c r="F85" s="648"/>
      <c r="G85" s="581"/>
      <c r="H85" s="648"/>
      <c r="I85" s="639" t="e">
        <f t="shared" si="5"/>
        <v>#DIV/0!</v>
      </c>
      <c r="J85" s="567"/>
      <c r="K85" s="568"/>
    </row>
    <row r="86" spans="1:11" x14ac:dyDescent="0.25">
      <c r="A86" s="899">
        <v>34343</v>
      </c>
      <c r="B86" s="900" t="s">
        <v>59</v>
      </c>
      <c r="C86" s="581">
        <v>14000</v>
      </c>
      <c r="D86" s="581">
        <v>11273.69</v>
      </c>
      <c r="E86" s="562">
        <v>14000</v>
      </c>
      <c r="F86" s="648"/>
      <c r="G86" s="581">
        <v>14000</v>
      </c>
      <c r="H86" s="648"/>
      <c r="I86" s="639">
        <f t="shared" si="5"/>
        <v>0</v>
      </c>
      <c r="J86" s="666"/>
      <c r="K86" s="561"/>
    </row>
    <row r="87" spans="1:11" x14ac:dyDescent="0.25">
      <c r="A87" s="899">
        <v>34344</v>
      </c>
      <c r="B87" s="900" t="s">
        <v>1220</v>
      </c>
      <c r="C87" s="581">
        <v>35000</v>
      </c>
      <c r="D87" s="581">
        <v>0</v>
      </c>
      <c r="E87" s="562">
        <v>0</v>
      </c>
      <c r="F87" s="648"/>
      <c r="G87" s="581">
        <v>0</v>
      </c>
      <c r="H87" s="648"/>
      <c r="I87" s="639">
        <f t="shared" si="5"/>
        <v>0</v>
      </c>
      <c r="J87" s="567"/>
      <c r="K87" s="561"/>
    </row>
    <row r="88" spans="1:11" x14ac:dyDescent="0.25">
      <c r="A88" s="899">
        <v>34385</v>
      </c>
      <c r="B88" s="900" t="s">
        <v>60</v>
      </c>
      <c r="C88" s="581"/>
      <c r="D88" s="581">
        <v>0</v>
      </c>
      <c r="E88" s="562">
        <v>0.01</v>
      </c>
      <c r="F88" s="648"/>
      <c r="G88" s="581">
        <v>0</v>
      </c>
      <c r="H88" s="648"/>
      <c r="I88" s="639" t="e">
        <f t="shared" si="5"/>
        <v>#DIV/0!</v>
      </c>
      <c r="J88" s="561"/>
      <c r="K88" s="667"/>
    </row>
    <row r="89" spans="1:11" x14ac:dyDescent="0.25">
      <c r="A89" s="899">
        <v>34386</v>
      </c>
      <c r="B89" s="900" t="s">
        <v>61</v>
      </c>
      <c r="C89" s="581">
        <v>1200</v>
      </c>
      <c r="D89" s="581">
        <v>0</v>
      </c>
      <c r="E89" s="562">
        <v>0</v>
      </c>
      <c r="F89" s="648"/>
      <c r="G89" s="581">
        <v>0</v>
      </c>
      <c r="H89" s="648"/>
      <c r="I89" s="639">
        <f t="shared" si="5"/>
        <v>0</v>
      </c>
      <c r="J89" s="561"/>
      <c r="K89" s="667"/>
    </row>
    <row r="90" spans="1:11" x14ac:dyDescent="0.25">
      <c r="A90" s="899">
        <v>34387</v>
      </c>
      <c r="B90" s="900" t="s">
        <v>1215</v>
      </c>
      <c r="C90" s="581"/>
      <c r="D90" s="581">
        <v>134.15</v>
      </c>
      <c r="E90" s="562">
        <v>500</v>
      </c>
      <c r="F90" s="648"/>
      <c r="G90" s="581">
        <v>500</v>
      </c>
      <c r="H90" s="648"/>
      <c r="I90" s="639"/>
      <c r="J90" s="561"/>
      <c r="K90" s="667"/>
    </row>
    <row r="91" spans="1:11" x14ac:dyDescent="0.25">
      <c r="A91" s="899">
        <v>34388</v>
      </c>
      <c r="B91" s="641" t="s">
        <v>1259</v>
      </c>
      <c r="D91" s="641">
        <v>7500</v>
      </c>
    </row>
    <row r="92" spans="1:11" x14ac:dyDescent="0.25">
      <c r="A92" s="596"/>
      <c r="B92" s="583" t="s">
        <v>14</v>
      </c>
      <c r="C92" s="584">
        <f>SUM(C68:C90)</f>
        <v>170900</v>
      </c>
      <c r="D92" s="584">
        <f>SUM(D68:D91)</f>
        <v>183372.06</v>
      </c>
      <c r="E92" s="584">
        <f>SUM(E68:E90)</f>
        <v>162025.08000000007</v>
      </c>
      <c r="F92" s="939">
        <f>SUM(F68:F90)</f>
        <v>0</v>
      </c>
      <c r="G92" s="584">
        <f>SUM(G68:G90)</f>
        <v>162025</v>
      </c>
      <c r="H92" s="585"/>
      <c r="I92" s="639">
        <f t="shared" ref="I92:I105" si="6">F92/C92</f>
        <v>0</v>
      </c>
      <c r="J92" s="561"/>
      <c r="K92" s="667"/>
    </row>
    <row r="93" spans="1:11" x14ac:dyDescent="0.25">
      <c r="A93" s="560"/>
      <c r="B93" s="561" t="s">
        <v>62</v>
      </c>
      <c r="C93" s="564"/>
      <c r="D93" s="581"/>
      <c r="E93" s="581"/>
      <c r="F93" s="648"/>
      <c r="G93" s="581"/>
      <c r="H93" s="648"/>
      <c r="I93" s="639" t="e">
        <f t="shared" si="6"/>
        <v>#DIV/0!</v>
      </c>
      <c r="J93" s="561"/>
      <c r="K93" s="561"/>
    </row>
    <row r="94" spans="1:11" x14ac:dyDescent="0.25">
      <c r="A94" s="590">
        <v>35121</v>
      </c>
      <c r="B94" s="576" t="s">
        <v>63</v>
      </c>
      <c r="C94" s="581">
        <v>15000</v>
      </c>
      <c r="D94" s="581">
        <v>11250</v>
      </c>
      <c r="E94" s="562">
        <v>15000</v>
      </c>
      <c r="F94" s="648"/>
      <c r="G94" s="581">
        <v>15000</v>
      </c>
      <c r="H94" s="648"/>
      <c r="I94" s="639">
        <f t="shared" si="6"/>
        <v>0</v>
      </c>
      <c r="J94" s="668"/>
      <c r="K94" s="561"/>
    </row>
    <row r="95" spans="1:11" x14ac:dyDescent="0.25">
      <c r="A95" s="590">
        <v>35122</v>
      </c>
      <c r="B95" s="576" t="s">
        <v>64</v>
      </c>
      <c r="C95" s="564">
        <v>0</v>
      </c>
      <c r="D95" s="581">
        <v>0</v>
      </c>
      <c r="E95" s="562">
        <v>0.01</v>
      </c>
      <c r="F95" s="648"/>
      <c r="G95" s="581">
        <v>0</v>
      </c>
      <c r="H95" s="648">
        <v>0</v>
      </c>
      <c r="I95" s="639" t="e">
        <f t="shared" si="6"/>
        <v>#DIV/0!</v>
      </c>
      <c r="J95" s="668"/>
      <c r="K95" s="657"/>
    </row>
    <row r="96" spans="1:11" x14ac:dyDescent="0.25">
      <c r="A96" s="596"/>
      <c r="B96" s="583" t="s">
        <v>14</v>
      </c>
      <c r="C96" s="585">
        <f>SUM(C94:C95)</f>
        <v>15000</v>
      </c>
      <c r="D96" s="584">
        <f t="shared" ref="D96:H96" si="7">SUM(D94:D95)</f>
        <v>11250</v>
      </c>
      <c r="E96" s="584">
        <f>SUM(E94:E95)</f>
        <v>15000.01</v>
      </c>
      <c r="F96" s="648">
        <f t="shared" si="7"/>
        <v>0</v>
      </c>
      <c r="G96" s="584">
        <f>SUM(G94:G95)</f>
        <v>15000</v>
      </c>
      <c r="H96" s="584">
        <f t="shared" si="7"/>
        <v>0</v>
      </c>
      <c r="I96" s="639">
        <f t="shared" si="6"/>
        <v>0</v>
      </c>
      <c r="J96" s="658"/>
      <c r="K96" s="659"/>
    </row>
    <row r="97" spans="1:11" x14ac:dyDescent="0.25">
      <c r="A97" s="560"/>
      <c r="B97" s="561" t="s">
        <v>65</v>
      </c>
      <c r="C97" s="564"/>
      <c r="D97" s="581"/>
      <c r="E97" s="581"/>
      <c r="F97" s="648"/>
      <c r="G97" s="581"/>
      <c r="H97" s="648"/>
      <c r="I97" s="639" t="e">
        <f t="shared" si="6"/>
        <v>#DIV/0!</v>
      </c>
      <c r="J97" s="658"/>
      <c r="K97" s="659"/>
    </row>
    <row r="98" spans="1:11" x14ac:dyDescent="0.25">
      <c r="A98" s="590">
        <v>36100</v>
      </c>
      <c r="B98" s="576" t="s">
        <v>66</v>
      </c>
      <c r="C98" s="581">
        <v>137000</v>
      </c>
      <c r="D98" s="581">
        <v>138365</v>
      </c>
      <c r="E98" s="562"/>
      <c r="F98" s="648"/>
      <c r="G98" s="581">
        <v>0</v>
      </c>
      <c r="H98" s="648"/>
      <c r="I98" s="639">
        <f t="shared" si="6"/>
        <v>0</v>
      </c>
      <c r="J98" s="658"/>
      <c r="K98" s="659"/>
    </row>
    <row r="99" spans="1:11" x14ac:dyDescent="0.25">
      <c r="A99" s="590">
        <v>36190</v>
      </c>
      <c r="B99" s="576" t="s">
        <v>67</v>
      </c>
      <c r="C99" s="581"/>
      <c r="D99" s="581">
        <v>16687.990000000002</v>
      </c>
      <c r="E99" s="581">
        <v>17000</v>
      </c>
      <c r="F99" s="648"/>
      <c r="G99" s="581">
        <v>17000</v>
      </c>
      <c r="H99" s="648"/>
      <c r="I99" s="639" t="e">
        <f t="shared" si="6"/>
        <v>#DIV/0!</v>
      </c>
      <c r="J99" s="663"/>
      <c r="K99" s="662"/>
    </row>
    <row r="100" spans="1:11" x14ac:dyDescent="0.25">
      <c r="A100" s="590">
        <v>36190</v>
      </c>
      <c r="B100" s="576" t="s">
        <v>68</v>
      </c>
      <c r="C100" s="581">
        <v>0</v>
      </c>
      <c r="D100" s="611">
        <v>0</v>
      </c>
      <c r="E100" s="562">
        <v>0.01</v>
      </c>
      <c r="F100" s="648"/>
      <c r="G100" s="581">
        <v>0</v>
      </c>
      <c r="H100" s="648">
        <v>0</v>
      </c>
      <c r="I100" s="639" t="e">
        <f t="shared" si="6"/>
        <v>#DIV/0!</v>
      </c>
      <c r="J100" s="669"/>
      <c r="K100" s="568"/>
    </row>
    <row r="101" spans="1:11" x14ac:dyDescent="0.25">
      <c r="A101" s="590">
        <v>36190</v>
      </c>
      <c r="B101" s="576" t="s">
        <v>69</v>
      </c>
      <c r="C101" s="581">
        <v>0</v>
      </c>
      <c r="D101" s="581">
        <v>0</v>
      </c>
      <c r="E101" s="562">
        <v>0.01</v>
      </c>
      <c r="F101" s="648"/>
      <c r="G101" s="581">
        <v>0</v>
      </c>
      <c r="H101" s="648">
        <v>0</v>
      </c>
      <c r="I101" s="639" t="e">
        <f t="shared" si="6"/>
        <v>#DIV/0!</v>
      </c>
      <c r="J101" s="649"/>
      <c r="K101" s="653"/>
    </row>
    <row r="102" spans="1:11" x14ac:dyDescent="0.25">
      <c r="A102" s="590">
        <v>36240</v>
      </c>
      <c r="B102" s="576" t="s">
        <v>70</v>
      </c>
      <c r="C102" s="581">
        <v>0</v>
      </c>
      <c r="D102" s="581">
        <v>0</v>
      </c>
      <c r="E102" s="562">
        <v>0.01</v>
      </c>
      <c r="F102" s="648"/>
      <c r="G102" s="581">
        <v>0</v>
      </c>
      <c r="H102" s="648">
        <v>0</v>
      </c>
      <c r="I102" s="639" t="e">
        <f t="shared" si="6"/>
        <v>#DIV/0!</v>
      </c>
      <c r="J102" s="649"/>
      <c r="K102" s="638"/>
    </row>
    <row r="103" spans="1:11" x14ac:dyDescent="0.25">
      <c r="A103" s="590">
        <v>36241</v>
      </c>
      <c r="B103" s="576" t="s">
        <v>71</v>
      </c>
      <c r="C103" s="581"/>
      <c r="D103" s="581">
        <v>0</v>
      </c>
      <c r="E103" s="562">
        <v>0</v>
      </c>
      <c r="F103" s="648"/>
      <c r="G103" s="581">
        <v>0</v>
      </c>
      <c r="H103" s="648">
        <v>0</v>
      </c>
      <c r="I103" s="639" t="e">
        <f t="shared" si="6"/>
        <v>#DIV/0!</v>
      </c>
      <c r="J103" s="649"/>
      <c r="K103" s="638"/>
    </row>
    <row r="104" spans="1:11" x14ac:dyDescent="0.25">
      <c r="A104" s="590">
        <v>36242</v>
      </c>
      <c r="B104" s="576" t="s">
        <v>1242</v>
      </c>
      <c r="C104" s="581"/>
      <c r="D104" s="581">
        <v>71500</v>
      </c>
      <c r="E104" s="562"/>
      <c r="F104" s="648"/>
      <c r="G104" s="581"/>
      <c r="H104" s="648"/>
      <c r="I104" s="639"/>
      <c r="J104" s="649"/>
      <c r="K104" s="638"/>
    </row>
    <row r="105" spans="1:11" x14ac:dyDescent="0.25">
      <c r="A105" s="596"/>
      <c r="B105" s="583" t="s">
        <v>14</v>
      </c>
      <c r="C105" s="584">
        <f t="shared" ref="C105:H105" si="8">SUM(C98:C104)</f>
        <v>137000</v>
      </c>
      <c r="D105" s="584">
        <f t="shared" si="8"/>
        <v>226552.99</v>
      </c>
      <c r="E105" s="584">
        <f t="shared" si="8"/>
        <v>17000.029999999995</v>
      </c>
      <c r="F105" s="939">
        <f t="shared" si="8"/>
        <v>0</v>
      </c>
      <c r="G105" s="584">
        <f t="shared" si="8"/>
        <v>17000</v>
      </c>
      <c r="H105" s="584">
        <f t="shared" si="8"/>
        <v>0</v>
      </c>
      <c r="I105" s="639">
        <f t="shared" si="6"/>
        <v>0</v>
      </c>
      <c r="J105" s="649"/>
      <c r="K105" s="638"/>
    </row>
    <row r="106" spans="1:11" x14ac:dyDescent="0.25">
      <c r="A106" s="560"/>
      <c r="B106" s="561" t="s">
        <v>72</v>
      </c>
      <c r="C106" s="564"/>
      <c r="D106" s="581"/>
      <c r="E106" s="581"/>
      <c r="F106" s="648"/>
      <c r="G106" s="581"/>
      <c r="H106" s="648"/>
      <c r="I106" s="639"/>
      <c r="J106" s="649"/>
      <c r="K106" s="654"/>
    </row>
    <row r="107" spans="1:11" x14ac:dyDescent="0.25">
      <c r="A107" s="590">
        <v>37090</v>
      </c>
      <c r="B107" s="576" t="s">
        <v>73</v>
      </c>
      <c r="C107" s="581">
        <v>1000</v>
      </c>
      <c r="D107" s="581">
        <v>865.37</v>
      </c>
      <c r="E107" s="562">
        <v>1000</v>
      </c>
      <c r="F107" s="648"/>
      <c r="G107" s="581">
        <v>1000</v>
      </c>
      <c r="H107" s="648"/>
      <c r="I107" s="639">
        <f>F107/C107</f>
        <v>0</v>
      </c>
      <c r="J107" s="664"/>
      <c r="K107" s="638"/>
    </row>
    <row r="108" spans="1:11" x14ac:dyDescent="0.25">
      <c r="A108" s="612">
        <v>37100</v>
      </c>
      <c r="B108" s="583" t="s">
        <v>74</v>
      </c>
      <c r="C108" s="581">
        <v>265000</v>
      </c>
      <c r="D108" s="581">
        <v>224273</v>
      </c>
      <c r="E108" s="902">
        <v>290000</v>
      </c>
      <c r="F108" s="648"/>
      <c r="G108" s="581">
        <v>290000</v>
      </c>
      <c r="H108" s="648"/>
      <c r="I108" s="639">
        <f>D108/E108</f>
        <v>0.77335517241379315</v>
      </c>
      <c r="J108" s="974"/>
      <c r="K108" s="975"/>
    </row>
    <row r="109" spans="1:11" x14ac:dyDescent="0.25">
      <c r="A109" s="612">
        <v>37101</v>
      </c>
      <c r="B109" s="583" t="s">
        <v>75</v>
      </c>
      <c r="C109" s="581">
        <v>144000</v>
      </c>
      <c r="D109" s="581">
        <v>129414</v>
      </c>
      <c r="E109" s="902">
        <v>145000</v>
      </c>
      <c r="F109" s="648"/>
      <c r="G109" s="581">
        <v>145000</v>
      </c>
      <c r="H109" s="648"/>
      <c r="I109" s="639">
        <f>D109/E109</f>
        <v>0.89251034482758618</v>
      </c>
      <c r="J109" s="976"/>
      <c r="K109" s="975"/>
    </row>
    <row r="110" spans="1:11" x14ac:dyDescent="0.25">
      <c r="A110" s="612">
        <v>37102</v>
      </c>
      <c r="B110" s="583" t="s">
        <v>76</v>
      </c>
      <c r="C110" s="581">
        <v>310000</v>
      </c>
      <c r="D110" s="581">
        <v>317688</v>
      </c>
      <c r="E110" s="902">
        <v>310000</v>
      </c>
      <c r="F110" s="648"/>
      <c r="G110" s="581">
        <v>310000</v>
      </c>
      <c r="H110" s="648"/>
      <c r="I110" s="639">
        <f>D110/E110</f>
        <v>1.0247999999999999</v>
      </c>
      <c r="J110" s="974"/>
      <c r="K110" s="975"/>
    </row>
    <row r="111" spans="1:11" x14ac:dyDescent="0.25">
      <c r="A111" s="590">
        <v>37110</v>
      </c>
      <c r="B111" s="576" t="s">
        <v>77</v>
      </c>
      <c r="C111" s="581">
        <v>50000</v>
      </c>
      <c r="D111" s="581">
        <v>59323.48</v>
      </c>
      <c r="E111" s="902">
        <v>71000</v>
      </c>
      <c r="F111" s="648"/>
      <c r="G111" s="581">
        <v>71000</v>
      </c>
      <c r="H111" s="648"/>
      <c r="I111" s="639">
        <f>D111/E111</f>
        <v>0.835541971830986</v>
      </c>
      <c r="J111" s="977"/>
      <c r="K111" s="975"/>
    </row>
    <row r="112" spans="1:11" x14ac:dyDescent="0.25">
      <c r="A112" s="590">
        <v>37120</v>
      </c>
      <c r="B112" s="576" t="s">
        <v>78</v>
      </c>
      <c r="C112" s="581">
        <v>38000</v>
      </c>
      <c r="D112" s="581">
        <v>0</v>
      </c>
      <c r="E112" s="902">
        <v>38000</v>
      </c>
      <c r="F112" s="648"/>
      <c r="G112" s="581">
        <v>38000</v>
      </c>
      <c r="H112" s="648"/>
      <c r="I112" s="639">
        <f>F112/C112</f>
        <v>0</v>
      </c>
      <c r="J112" s="935"/>
      <c r="K112" s="978"/>
    </row>
    <row r="113" spans="1:11" x14ac:dyDescent="0.25">
      <c r="A113" s="596"/>
      <c r="B113" s="583" t="s">
        <v>14</v>
      </c>
      <c r="C113" s="584">
        <f>SUM(C107:C112)</f>
        <v>808000</v>
      </c>
      <c r="D113" s="584">
        <f t="shared" ref="D113:H113" si="9">SUM(D107:D112)</f>
        <v>731563.85</v>
      </c>
      <c r="E113" s="958">
        <f>SUM(E107:E112)</f>
        <v>855000</v>
      </c>
      <c r="F113" s="939">
        <f t="shared" si="9"/>
        <v>0</v>
      </c>
      <c r="G113" s="584">
        <f>SUM(G107:G112)</f>
        <v>855000</v>
      </c>
      <c r="H113" s="584">
        <f t="shared" si="9"/>
        <v>0</v>
      </c>
      <c r="I113" s="639">
        <f>F113/C113</f>
        <v>0</v>
      </c>
      <c r="J113" s="671"/>
      <c r="K113" s="667"/>
    </row>
    <row r="114" spans="1:11" x14ac:dyDescent="0.25">
      <c r="A114" s="560"/>
      <c r="B114" s="561" t="s">
        <v>79</v>
      </c>
      <c r="C114" s="564"/>
      <c r="D114" s="581"/>
      <c r="E114" s="581"/>
      <c r="F114" s="648"/>
      <c r="G114" s="581"/>
      <c r="H114" s="648"/>
      <c r="I114" s="581"/>
      <c r="J114" s="567"/>
      <c r="K114" s="568"/>
    </row>
    <row r="115" spans="1:11" x14ac:dyDescent="0.25">
      <c r="A115" s="590">
        <v>30000</v>
      </c>
      <c r="B115" s="576" t="s">
        <v>10</v>
      </c>
      <c r="C115" s="581">
        <v>2600</v>
      </c>
      <c r="D115" s="581">
        <v>0</v>
      </c>
      <c r="E115" s="562">
        <v>0</v>
      </c>
      <c r="F115" s="648"/>
      <c r="G115" s="581">
        <v>0</v>
      </c>
      <c r="H115" s="648"/>
      <c r="I115" s="639">
        <f t="shared" ref="I115:I127" si="10">F115/C115</f>
        <v>0</v>
      </c>
      <c r="J115" s="650"/>
      <c r="K115" s="667"/>
    </row>
    <row r="116" spans="1:11" x14ac:dyDescent="0.25">
      <c r="A116" s="590">
        <v>30001</v>
      </c>
      <c r="B116" s="576" t="s">
        <v>11</v>
      </c>
      <c r="C116" s="562">
        <v>1000</v>
      </c>
      <c r="D116" s="562">
        <v>0</v>
      </c>
      <c r="E116" s="562">
        <v>0</v>
      </c>
      <c r="F116" s="648"/>
      <c r="G116" s="562">
        <v>0</v>
      </c>
      <c r="H116" s="648"/>
      <c r="I116" s="639">
        <f t="shared" si="10"/>
        <v>0</v>
      </c>
      <c r="J116" s="650"/>
      <c r="K116" s="637"/>
    </row>
    <row r="117" spans="1:11" x14ac:dyDescent="0.25">
      <c r="A117" s="590">
        <v>30002</v>
      </c>
      <c r="B117" s="576" t="s">
        <v>80</v>
      </c>
      <c r="C117" s="562"/>
      <c r="D117" s="562">
        <v>0.01</v>
      </c>
      <c r="E117" s="562">
        <v>0.01</v>
      </c>
      <c r="F117" s="648"/>
      <c r="G117" s="562">
        <v>0</v>
      </c>
      <c r="H117" s="648"/>
      <c r="I117" s="639" t="e">
        <f t="shared" si="10"/>
        <v>#DIV/0!</v>
      </c>
      <c r="J117" s="664"/>
      <c r="K117" s="561"/>
    </row>
    <row r="118" spans="1:11" x14ac:dyDescent="0.25">
      <c r="A118" s="590">
        <v>30003</v>
      </c>
      <c r="B118" s="576" t="s">
        <v>81</v>
      </c>
      <c r="C118" s="562"/>
      <c r="D118" s="562">
        <v>0.01</v>
      </c>
      <c r="E118" s="562">
        <v>0.01</v>
      </c>
      <c r="F118" s="648"/>
      <c r="G118" s="562">
        <v>0</v>
      </c>
      <c r="H118" s="648"/>
      <c r="I118" s="639" t="e">
        <f t="shared" si="10"/>
        <v>#DIV/0!</v>
      </c>
      <c r="J118" s="567"/>
      <c r="K118" s="561"/>
    </row>
    <row r="119" spans="1:11" x14ac:dyDescent="0.25">
      <c r="A119" s="590">
        <v>30004</v>
      </c>
      <c r="B119" s="576" t="s">
        <v>82</v>
      </c>
      <c r="C119" s="562"/>
      <c r="D119" s="562">
        <v>0.01</v>
      </c>
      <c r="E119" s="562">
        <v>0.01</v>
      </c>
      <c r="F119" s="648"/>
      <c r="G119" s="562">
        <v>0</v>
      </c>
      <c r="H119" s="648"/>
      <c r="I119" s="639" t="e">
        <f t="shared" si="10"/>
        <v>#DIV/0!</v>
      </c>
      <c r="J119" s="567"/>
      <c r="K119" s="561"/>
    </row>
    <row r="120" spans="1:11" x14ac:dyDescent="0.25">
      <c r="A120" s="590">
        <v>38100</v>
      </c>
      <c r="B120" s="576" t="s">
        <v>83</v>
      </c>
      <c r="C120" s="562"/>
      <c r="D120" s="562">
        <v>0.01</v>
      </c>
      <c r="E120" s="562">
        <v>0</v>
      </c>
      <c r="F120" s="648"/>
      <c r="G120" s="562">
        <v>0</v>
      </c>
      <c r="H120" s="648"/>
      <c r="I120" s="639" t="e">
        <f t="shared" si="10"/>
        <v>#DIV/0!</v>
      </c>
      <c r="J120" s="673"/>
      <c r="K120" s="561"/>
    </row>
    <row r="121" spans="1:11" x14ac:dyDescent="0.25">
      <c r="A121" s="590">
        <v>38101</v>
      </c>
      <c r="B121" s="576" t="s">
        <v>84</v>
      </c>
      <c r="C121" s="562">
        <v>5000</v>
      </c>
      <c r="D121" s="562">
        <v>5000</v>
      </c>
      <c r="E121" s="562"/>
      <c r="F121" s="672"/>
      <c r="G121" s="562">
        <v>0</v>
      </c>
      <c r="H121" s="648"/>
      <c r="I121" s="639">
        <f t="shared" si="10"/>
        <v>0</v>
      </c>
      <c r="J121" s="664"/>
      <c r="K121" s="561"/>
    </row>
    <row r="122" spans="1:11" x14ac:dyDescent="0.25">
      <c r="A122" s="590">
        <v>38102</v>
      </c>
      <c r="B122" s="576" t="s">
        <v>85</v>
      </c>
      <c r="C122" s="562">
        <v>20329</v>
      </c>
      <c r="D122" s="562">
        <v>0</v>
      </c>
      <c r="E122" s="562"/>
      <c r="F122" s="672"/>
      <c r="G122" s="562"/>
      <c r="H122" s="648"/>
      <c r="I122" s="639">
        <f t="shared" si="10"/>
        <v>0</v>
      </c>
      <c r="J122" s="664"/>
      <c r="K122" s="568"/>
    </row>
    <row r="123" spans="1:11" x14ac:dyDescent="0.25">
      <c r="A123" s="590">
        <v>38104</v>
      </c>
      <c r="B123" s="576" t="s">
        <v>86</v>
      </c>
      <c r="C123" s="562"/>
      <c r="D123" s="562">
        <v>0.01</v>
      </c>
      <c r="E123" s="562">
        <v>0.01</v>
      </c>
      <c r="F123" s="672"/>
      <c r="G123" s="562">
        <v>0</v>
      </c>
      <c r="H123" s="648"/>
      <c r="I123" s="639" t="e">
        <f t="shared" si="10"/>
        <v>#DIV/0!</v>
      </c>
      <c r="J123" s="673"/>
      <c r="K123" s="561"/>
    </row>
    <row r="124" spans="1:11" x14ac:dyDescent="0.25">
      <c r="A124" s="590">
        <v>38140</v>
      </c>
      <c r="B124" s="576" t="s">
        <v>87</v>
      </c>
      <c r="C124" s="562"/>
      <c r="D124" s="562">
        <v>0</v>
      </c>
      <c r="E124" s="562">
        <v>0</v>
      </c>
      <c r="F124" s="672"/>
      <c r="G124" s="562">
        <v>0</v>
      </c>
      <c r="H124" s="648"/>
      <c r="I124" s="639" t="e">
        <f t="shared" si="10"/>
        <v>#DIV/0!</v>
      </c>
      <c r="J124" s="673"/>
      <c r="K124" s="659"/>
    </row>
    <row r="125" spans="1:11" x14ac:dyDescent="0.25">
      <c r="A125" s="575"/>
      <c r="B125" s="583" t="s">
        <v>14</v>
      </c>
      <c r="C125" s="584">
        <f>SUM(C115:C124)</f>
        <v>28929</v>
      </c>
      <c r="D125" s="584">
        <f t="shared" ref="D125:H125" si="11">SUM(D115:D124)</f>
        <v>5000.05</v>
      </c>
      <c r="E125" s="584">
        <f>SUM(E115:E124)</f>
        <v>0.04</v>
      </c>
      <c r="F125" s="672">
        <f t="shared" si="11"/>
        <v>0</v>
      </c>
      <c r="G125" s="584">
        <f>SUM(G115:G124)</f>
        <v>0</v>
      </c>
      <c r="H125" s="584">
        <f t="shared" si="11"/>
        <v>0</v>
      </c>
      <c r="I125" s="639">
        <f t="shared" si="10"/>
        <v>0</v>
      </c>
      <c r="J125" s="561"/>
      <c r="K125" s="638"/>
    </row>
    <row r="126" spans="1:11" x14ac:dyDescent="0.25">
      <c r="A126" s="560"/>
      <c r="B126" s="561" t="s">
        <v>88</v>
      </c>
      <c r="C126" s="563">
        <f t="shared" ref="C126:H126" si="12">C12+C33+C66+C92+C96+C105+C113+C125</f>
        <v>2735369</v>
      </c>
      <c r="D126" s="616">
        <f t="shared" si="12"/>
        <v>2764629.4699999997</v>
      </c>
      <c r="E126" s="616">
        <f t="shared" si="12"/>
        <v>3149967.23</v>
      </c>
      <c r="F126" s="675">
        <f t="shared" si="12"/>
        <v>0</v>
      </c>
      <c r="G126" s="616">
        <f t="shared" si="12"/>
        <v>3149967</v>
      </c>
      <c r="H126" s="616">
        <f t="shared" si="12"/>
        <v>0</v>
      </c>
      <c r="I126" s="639">
        <f t="shared" si="10"/>
        <v>0</v>
      </c>
      <c r="J126" s="676"/>
      <c r="K126" s="656"/>
    </row>
    <row r="127" spans="1:11" x14ac:dyDescent="0.25">
      <c r="A127" s="560"/>
      <c r="B127" s="561" t="s">
        <v>89</v>
      </c>
      <c r="C127" s="563">
        <f t="shared" ref="C127:H127" si="13">C5+C126</f>
        <v>3678335</v>
      </c>
      <c r="D127" s="616">
        <f t="shared" si="13"/>
        <v>2764629.4699999997</v>
      </c>
      <c r="E127" s="616">
        <f t="shared" si="13"/>
        <v>3717998.23</v>
      </c>
      <c r="F127" s="675">
        <f t="shared" si="13"/>
        <v>0</v>
      </c>
      <c r="G127" s="616">
        <f t="shared" si="13"/>
        <v>3411859.3639999991</v>
      </c>
      <c r="H127" s="616">
        <f t="shared" si="13"/>
        <v>0</v>
      </c>
      <c r="I127" s="639">
        <f t="shared" si="10"/>
        <v>0</v>
      </c>
      <c r="J127" s="649"/>
      <c r="K127" s="638"/>
    </row>
    <row r="128" spans="1:11" s="569" customFormat="1" x14ac:dyDescent="0.25">
      <c r="A128" s="560"/>
      <c r="B128" s="561"/>
      <c r="C128" s="564"/>
      <c r="D128" s="576"/>
      <c r="E128" s="576"/>
      <c r="F128" s="564"/>
      <c r="G128" s="593"/>
      <c r="H128" s="593"/>
      <c r="I128" s="581"/>
      <c r="J128" s="649"/>
      <c r="K128" s="568"/>
    </row>
    <row r="129" spans="1:11" x14ac:dyDescent="0.25">
      <c r="A129" s="764" t="s">
        <v>91</v>
      </c>
      <c r="B129" s="628" t="s">
        <v>90</v>
      </c>
      <c r="C129" s="677">
        <v>2017</v>
      </c>
      <c r="D129" s="629" t="s">
        <v>1236</v>
      </c>
      <c r="E129" s="629">
        <v>2018</v>
      </c>
      <c r="F129" s="677" t="s">
        <v>1236</v>
      </c>
      <c r="G129" s="765" t="s">
        <v>4</v>
      </c>
      <c r="H129" s="631">
        <v>2019</v>
      </c>
      <c r="I129" s="627" t="s">
        <v>5</v>
      </c>
      <c r="J129" s="649"/>
      <c r="K129" s="654"/>
    </row>
    <row r="130" spans="1:11" x14ac:dyDescent="0.25">
      <c r="A130" s="560"/>
      <c r="B130" s="576"/>
      <c r="C130" s="677" t="s">
        <v>6</v>
      </c>
      <c r="D130" s="634">
        <v>43069</v>
      </c>
      <c r="E130" s="629" t="s">
        <v>6</v>
      </c>
      <c r="F130" s="678">
        <v>43131</v>
      </c>
      <c r="G130" s="678" t="s">
        <v>1131</v>
      </c>
      <c r="H130" s="635" t="s">
        <v>6</v>
      </c>
      <c r="I130" s="627" t="s">
        <v>92</v>
      </c>
      <c r="J130" s="649"/>
      <c r="K130" s="638"/>
    </row>
    <row r="131" spans="1:11" x14ac:dyDescent="0.25">
      <c r="A131" s="590"/>
      <c r="B131" s="576" t="s">
        <v>93</v>
      </c>
      <c r="C131" s="578"/>
      <c r="D131" s="593"/>
      <c r="E131" s="593"/>
      <c r="F131" s="578"/>
      <c r="G131" s="576"/>
      <c r="H131" s="576"/>
      <c r="I131" s="593"/>
      <c r="J131" s="649"/>
      <c r="K131" s="638"/>
    </row>
    <row r="132" spans="1:11" x14ac:dyDescent="0.25">
      <c r="A132" s="590">
        <v>40100</v>
      </c>
      <c r="B132" s="576" t="s">
        <v>96</v>
      </c>
      <c r="C132" s="581">
        <v>43800</v>
      </c>
      <c r="D132" s="581">
        <f>40150+1580.28</f>
        <v>41730.28</v>
      </c>
      <c r="E132" s="902">
        <v>43800</v>
      </c>
      <c r="F132" s="672"/>
      <c r="G132" s="581">
        <v>43800</v>
      </c>
      <c r="H132" s="648"/>
      <c r="I132" s="639">
        <f>F132/C132</f>
        <v>0</v>
      </c>
      <c r="J132" s="561"/>
      <c r="K132" s="638"/>
    </row>
    <row r="133" spans="1:11" x14ac:dyDescent="0.25">
      <c r="A133" s="590">
        <v>40110</v>
      </c>
      <c r="B133" s="576" t="s">
        <v>97</v>
      </c>
      <c r="C133" s="680">
        <v>0</v>
      </c>
      <c r="D133" s="581">
        <v>0</v>
      </c>
      <c r="E133" s="902">
        <v>0</v>
      </c>
      <c r="F133" s="672"/>
      <c r="G133" s="680">
        <v>0</v>
      </c>
      <c r="H133" s="648"/>
      <c r="I133" s="639">
        <v>69.45</v>
      </c>
      <c r="J133" s="567"/>
      <c r="K133" s="638"/>
    </row>
    <row r="134" spans="1:11" x14ac:dyDescent="0.25">
      <c r="A134" s="590">
        <v>41420</v>
      </c>
      <c r="B134" s="576" t="s">
        <v>1270</v>
      </c>
      <c r="C134" s="680"/>
      <c r="D134" s="581"/>
      <c r="E134" s="902">
        <v>106</v>
      </c>
      <c r="F134" s="672"/>
      <c r="G134" s="680">
        <v>106</v>
      </c>
      <c r="H134" s="648"/>
      <c r="I134" s="639"/>
      <c r="J134" s="567"/>
      <c r="K134" s="638"/>
    </row>
    <row r="135" spans="1:11" x14ac:dyDescent="0.25">
      <c r="A135" s="590">
        <v>41430</v>
      </c>
      <c r="B135" s="590" t="s">
        <v>98</v>
      </c>
      <c r="C135" s="581"/>
      <c r="D135" s="581">
        <v>0</v>
      </c>
      <c r="E135" s="902">
        <v>0</v>
      </c>
      <c r="F135" s="648"/>
      <c r="G135" s="581">
        <v>0</v>
      </c>
      <c r="H135" s="648"/>
      <c r="I135" s="639" t="e">
        <f t="shared" ref="I135:I152" si="14">F135/C135</f>
        <v>#DIV/0!</v>
      </c>
      <c r="J135" s="561"/>
      <c r="K135" s="667"/>
    </row>
    <row r="136" spans="1:11" x14ac:dyDescent="0.25">
      <c r="A136" s="590">
        <v>41435</v>
      </c>
      <c r="B136" s="590" t="s">
        <v>99</v>
      </c>
      <c r="C136" s="581">
        <v>4937</v>
      </c>
      <c r="D136" s="581">
        <v>4525.95</v>
      </c>
      <c r="E136" s="902">
        <v>4937</v>
      </c>
      <c r="F136" s="648"/>
      <c r="G136" s="581">
        <v>4937.3999999999996</v>
      </c>
      <c r="H136" s="648"/>
      <c r="I136" s="639">
        <f t="shared" si="14"/>
        <v>0</v>
      </c>
      <c r="J136" s="561"/>
      <c r="K136" s="667"/>
    </row>
    <row r="137" spans="1:11" x14ac:dyDescent="0.25">
      <c r="A137" s="590">
        <v>41440</v>
      </c>
      <c r="B137" s="576" t="s">
        <v>100</v>
      </c>
      <c r="C137" s="581">
        <v>2716</v>
      </c>
      <c r="D137" s="581">
        <v>2861.58</v>
      </c>
      <c r="E137" s="902">
        <f>43800*6.2%</f>
        <v>2715.6</v>
      </c>
      <c r="F137" s="648"/>
      <c r="G137" s="902">
        <f>43800*6.2%</f>
        <v>2715.6</v>
      </c>
      <c r="H137" s="648"/>
      <c r="I137" s="639">
        <f t="shared" si="14"/>
        <v>0</v>
      </c>
      <c r="J137" s="561"/>
      <c r="K137" s="561"/>
    </row>
    <row r="138" spans="1:11" x14ac:dyDescent="0.25">
      <c r="A138" s="590">
        <v>41450</v>
      </c>
      <c r="B138" s="576" t="s">
        <v>101</v>
      </c>
      <c r="C138" s="581">
        <v>635</v>
      </c>
      <c r="D138" s="581">
        <v>669.22</v>
      </c>
      <c r="E138" s="902">
        <v>635</v>
      </c>
      <c r="F138" s="648"/>
      <c r="G138" s="581">
        <v>635</v>
      </c>
      <c r="H138" s="648"/>
      <c r="I138" s="639">
        <f t="shared" si="14"/>
        <v>0</v>
      </c>
      <c r="J138" s="561"/>
      <c r="K138" s="667"/>
    </row>
    <row r="139" spans="1:11" x14ac:dyDescent="0.25">
      <c r="A139" s="590">
        <v>41470</v>
      </c>
      <c r="B139" s="576" t="s">
        <v>102</v>
      </c>
      <c r="C139" s="581">
        <v>34</v>
      </c>
      <c r="D139" s="581">
        <v>27.12</v>
      </c>
      <c r="E139" s="902">
        <v>30</v>
      </c>
      <c r="F139" s="648"/>
      <c r="G139" s="581">
        <v>30</v>
      </c>
      <c r="H139" s="648"/>
      <c r="I139" s="639">
        <f t="shared" si="14"/>
        <v>0</v>
      </c>
      <c r="J139" s="567"/>
      <c r="K139" s="568"/>
    </row>
    <row r="140" spans="1:11" x14ac:dyDescent="0.25">
      <c r="A140" s="590">
        <v>54110</v>
      </c>
      <c r="B140" s="576" t="s">
        <v>103</v>
      </c>
      <c r="C140" s="581">
        <v>1500</v>
      </c>
      <c r="D140" s="581">
        <v>800.95</v>
      </c>
      <c r="E140" s="902">
        <v>1000</v>
      </c>
      <c r="F140" s="648"/>
      <c r="G140" s="581">
        <v>1000</v>
      </c>
      <c r="H140" s="648"/>
      <c r="I140" s="639">
        <f t="shared" si="14"/>
        <v>0</v>
      </c>
      <c r="J140" s="561"/>
      <c r="K140" s="667"/>
    </row>
    <row r="141" spans="1:11" x14ac:dyDescent="0.25">
      <c r="A141" s="590">
        <v>54120</v>
      </c>
      <c r="B141" s="576" t="s">
        <v>104</v>
      </c>
      <c r="C141" s="581">
        <v>300</v>
      </c>
      <c r="D141" s="581">
        <v>572.48</v>
      </c>
      <c r="E141" s="902">
        <v>800</v>
      </c>
      <c r="F141" s="648"/>
      <c r="G141" s="581">
        <v>800</v>
      </c>
      <c r="H141" s="648"/>
      <c r="I141" s="639">
        <f t="shared" si="14"/>
        <v>0</v>
      </c>
      <c r="J141" s="566"/>
      <c r="K141" s="561"/>
    </row>
    <row r="142" spans="1:11" x14ac:dyDescent="0.25">
      <c r="A142" s="590">
        <v>59850</v>
      </c>
      <c r="B142" s="576" t="s">
        <v>105</v>
      </c>
      <c r="C142" s="581"/>
      <c r="D142" s="581">
        <v>0</v>
      </c>
      <c r="E142" s="902">
        <v>0</v>
      </c>
      <c r="F142" s="648"/>
      <c r="G142" s="581">
        <v>0</v>
      </c>
      <c r="H142" s="648"/>
      <c r="I142" s="639" t="e">
        <f t="shared" si="14"/>
        <v>#DIV/0!</v>
      </c>
      <c r="J142" s="664"/>
      <c r="K142" s="561"/>
    </row>
    <row r="143" spans="1:11" x14ac:dyDescent="0.25">
      <c r="A143" s="590">
        <v>60000</v>
      </c>
      <c r="B143" s="576" t="s">
        <v>106</v>
      </c>
      <c r="C143" s="581">
        <v>1000</v>
      </c>
      <c r="D143" s="581">
        <v>224.4</v>
      </c>
      <c r="E143" s="902">
        <v>1000</v>
      </c>
      <c r="F143" s="648"/>
      <c r="G143" s="581">
        <v>1000</v>
      </c>
      <c r="H143" s="648"/>
      <c r="I143" s="639">
        <f t="shared" si="14"/>
        <v>0</v>
      </c>
      <c r="J143" s="664"/>
      <c r="K143" s="561"/>
    </row>
    <row r="144" spans="1:11" x14ac:dyDescent="0.25">
      <c r="A144" s="590">
        <v>61200</v>
      </c>
      <c r="B144" s="576" t="s">
        <v>107</v>
      </c>
      <c r="C144" s="581">
        <v>1000</v>
      </c>
      <c r="D144" s="581">
        <v>634.20000000000005</v>
      </c>
      <c r="E144" s="902">
        <v>1000</v>
      </c>
      <c r="F144" s="648"/>
      <c r="G144" s="581">
        <v>1000</v>
      </c>
      <c r="H144" s="648"/>
      <c r="I144" s="639">
        <f t="shared" si="14"/>
        <v>0</v>
      </c>
      <c r="J144" s="664"/>
      <c r="K144" s="561"/>
    </row>
    <row r="145" spans="1:11" x14ac:dyDescent="0.25">
      <c r="A145" s="590">
        <v>62310</v>
      </c>
      <c r="B145" s="576" t="s">
        <v>108</v>
      </c>
      <c r="C145" s="581">
        <v>2600</v>
      </c>
      <c r="D145" s="581">
        <v>0</v>
      </c>
      <c r="E145" s="902">
        <v>2600</v>
      </c>
      <c r="F145" s="648"/>
      <c r="G145" s="581">
        <v>2600</v>
      </c>
      <c r="H145" s="648"/>
      <c r="I145" s="639">
        <f t="shared" si="14"/>
        <v>0</v>
      </c>
      <c r="J145" s="664"/>
      <c r="K145" s="561"/>
    </row>
    <row r="146" spans="1:11" x14ac:dyDescent="0.25">
      <c r="A146" s="590">
        <v>62500</v>
      </c>
      <c r="B146" s="576" t="s">
        <v>109</v>
      </c>
      <c r="C146" s="581">
        <v>800</v>
      </c>
      <c r="D146" s="581">
        <v>0</v>
      </c>
      <c r="E146" s="902">
        <v>800</v>
      </c>
      <c r="F146" s="648"/>
      <c r="G146" s="581">
        <v>800</v>
      </c>
      <c r="H146" s="648"/>
      <c r="I146" s="639">
        <f t="shared" si="14"/>
        <v>0</v>
      </c>
      <c r="J146" s="664"/>
      <c r="K146" s="561"/>
    </row>
    <row r="147" spans="1:11" x14ac:dyDescent="0.25">
      <c r="A147" s="590">
        <v>62510</v>
      </c>
      <c r="B147" s="576" t="s">
        <v>110</v>
      </c>
      <c r="C147" s="581">
        <v>300</v>
      </c>
      <c r="D147" s="581">
        <v>34.75</v>
      </c>
      <c r="E147" s="902">
        <v>300</v>
      </c>
      <c r="F147" s="648"/>
      <c r="G147" s="581">
        <v>300</v>
      </c>
      <c r="H147" s="648"/>
      <c r="I147" s="639">
        <f t="shared" si="14"/>
        <v>0</v>
      </c>
      <c r="J147" s="664"/>
      <c r="K147" s="561"/>
    </row>
    <row r="148" spans="1:11" x14ac:dyDescent="0.25">
      <c r="A148" s="590">
        <v>62530</v>
      </c>
      <c r="B148" s="576" t="s">
        <v>171</v>
      </c>
      <c r="C148" s="581">
        <v>750</v>
      </c>
      <c r="D148" s="581">
        <v>306</v>
      </c>
      <c r="E148" s="902">
        <v>750</v>
      </c>
      <c r="F148" s="648"/>
      <c r="G148" s="581">
        <v>750</v>
      </c>
      <c r="H148" s="648"/>
      <c r="I148" s="639">
        <f t="shared" si="14"/>
        <v>0</v>
      </c>
      <c r="J148" s="664"/>
      <c r="K148" s="561"/>
    </row>
    <row r="149" spans="1:11" x14ac:dyDescent="0.25">
      <c r="A149" s="590">
        <v>63310</v>
      </c>
      <c r="B149" s="576" t="s">
        <v>111</v>
      </c>
      <c r="C149" s="581">
        <v>100</v>
      </c>
      <c r="D149" s="581">
        <v>100</v>
      </c>
      <c r="E149" s="902">
        <v>100</v>
      </c>
      <c r="F149" s="648"/>
      <c r="G149" s="581">
        <v>100</v>
      </c>
      <c r="H149" s="648"/>
      <c r="I149" s="639">
        <f t="shared" si="14"/>
        <v>0</v>
      </c>
      <c r="J149" s="681"/>
      <c r="K149" s="561"/>
    </row>
    <row r="150" spans="1:11" x14ac:dyDescent="0.25">
      <c r="A150" s="590">
        <v>64474</v>
      </c>
      <c r="B150" s="576" t="s">
        <v>112</v>
      </c>
      <c r="C150" s="581">
        <v>8500</v>
      </c>
      <c r="D150" s="581">
        <v>5644.8</v>
      </c>
      <c r="E150" s="902">
        <v>8500</v>
      </c>
      <c r="F150" s="648"/>
      <c r="G150" s="581">
        <v>8500</v>
      </c>
      <c r="H150" s="648"/>
      <c r="I150" s="639">
        <f t="shared" si="14"/>
        <v>0</v>
      </c>
      <c r="J150" s="682"/>
      <c r="K150" s="561"/>
    </row>
    <row r="151" spans="1:11" x14ac:dyDescent="0.25">
      <c r="A151" s="590">
        <v>65500</v>
      </c>
      <c r="B151" s="576" t="s">
        <v>113</v>
      </c>
      <c r="C151" s="581">
        <v>25</v>
      </c>
      <c r="D151" s="581">
        <v>11.56</v>
      </c>
      <c r="E151" s="902">
        <v>25</v>
      </c>
      <c r="F151" s="648"/>
      <c r="G151" s="581">
        <v>25</v>
      </c>
      <c r="H151" s="648"/>
      <c r="I151" s="639">
        <f t="shared" si="14"/>
        <v>0</v>
      </c>
      <c r="J151" s="649"/>
      <c r="K151" s="568"/>
    </row>
    <row r="152" spans="1:11" x14ac:dyDescent="0.25">
      <c r="A152" s="590">
        <v>68010</v>
      </c>
      <c r="B152" s="576" t="s">
        <v>114</v>
      </c>
      <c r="C152" s="581">
        <v>650</v>
      </c>
      <c r="D152" s="581">
        <v>0</v>
      </c>
      <c r="E152" s="902">
        <v>650</v>
      </c>
      <c r="F152" s="648"/>
      <c r="G152" s="581">
        <v>650</v>
      </c>
      <c r="H152" s="648"/>
      <c r="I152" s="639">
        <f t="shared" si="14"/>
        <v>0</v>
      </c>
      <c r="J152" s="561"/>
      <c r="K152" s="667"/>
    </row>
    <row r="153" spans="1:11" x14ac:dyDescent="0.25">
      <c r="A153" s="590">
        <v>69999</v>
      </c>
      <c r="B153" s="576" t="s">
        <v>115</v>
      </c>
      <c r="C153" s="581">
        <v>100</v>
      </c>
      <c r="D153" s="581">
        <v>80</v>
      </c>
      <c r="E153" s="902">
        <v>100</v>
      </c>
      <c r="F153" s="648"/>
      <c r="G153" s="581">
        <v>100</v>
      </c>
      <c r="H153" s="648"/>
      <c r="I153" s="639">
        <v>1.8</v>
      </c>
      <c r="J153" s="561"/>
      <c r="K153" s="667"/>
    </row>
    <row r="154" spans="1:11" x14ac:dyDescent="0.25">
      <c r="A154" s="560"/>
      <c r="B154" s="561" t="s">
        <v>116</v>
      </c>
      <c r="C154" s="563">
        <f>SUM(C132:C153)</f>
        <v>69747</v>
      </c>
      <c r="D154" s="563">
        <f t="shared" ref="D154:H154" si="15">SUM(D132:D153)</f>
        <v>58223.29</v>
      </c>
      <c r="E154" s="954">
        <f>SUM(E132:E153)</f>
        <v>69848.600000000006</v>
      </c>
      <c r="F154" s="683">
        <f t="shared" si="15"/>
        <v>0</v>
      </c>
      <c r="G154" s="563">
        <f>SUM(G132:G153)</f>
        <v>69849</v>
      </c>
      <c r="H154" s="563">
        <f t="shared" si="15"/>
        <v>0</v>
      </c>
      <c r="I154" s="639">
        <f>F154/C154</f>
        <v>0</v>
      </c>
      <c r="J154" s="684"/>
      <c r="K154" s="561"/>
    </row>
    <row r="155" spans="1:11" x14ac:dyDescent="0.25">
      <c r="A155" s="560"/>
      <c r="B155" s="561"/>
      <c r="C155" s="564"/>
      <c r="D155" s="576"/>
      <c r="E155" s="576"/>
      <c r="F155" s="564"/>
      <c r="G155" s="593"/>
      <c r="H155" s="593"/>
      <c r="I155" s="581"/>
      <c r="J155" s="685"/>
      <c r="K155" s="568"/>
    </row>
    <row r="156" spans="1:11" x14ac:dyDescent="0.25">
      <c r="A156" s="687" t="s">
        <v>118</v>
      </c>
      <c r="B156" s="628" t="s">
        <v>117</v>
      </c>
      <c r="C156" s="630">
        <v>2017</v>
      </c>
      <c r="D156" s="629" t="s">
        <v>1236</v>
      </c>
      <c r="E156" s="629">
        <v>2018</v>
      </c>
      <c r="F156" s="630" t="s">
        <v>1236</v>
      </c>
      <c r="G156" s="631" t="s">
        <v>4</v>
      </c>
      <c r="H156" s="631">
        <v>2019</v>
      </c>
      <c r="I156" s="627" t="s">
        <v>5</v>
      </c>
      <c r="J156" s="567"/>
      <c r="K156" s="568"/>
    </row>
    <row r="157" spans="1:11" x14ac:dyDescent="0.25">
      <c r="A157" s="560"/>
      <c r="B157" s="561"/>
      <c r="C157" s="630" t="s">
        <v>6</v>
      </c>
      <c r="D157" s="634">
        <v>43069</v>
      </c>
      <c r="E157" s="629" t="s">
        <v>6</v>
      </c>
      <c r="F157" s="634">
        <v>43131</v>
      </c>
      <c r="G157" s="635" t="s">
        <v>1131</v>
      </c>
      <c r="H157" s="635" t="s">
        <v>6</v>
      </c>
      <c r="I157" s="627" t="s">
        <v>92</v>
      </c>
      <c r="J157" s="567"/>
      <c r="K157" s="568"/>
    </row>
    <row r="158" spans="1:11" x14ac:dyDescent="0.25">
      <c r="A158" s="590"/>
      <c r="B158" s="576" t="s">
        <v>93</v>
      </c>
      <c r="C158" s="578"/>
      <c r="D158" s="593"/>
      <c r="E158" s="934"/>
      <c r="F158" s="564"/>
      <c r="G158" s="581"/>
      <c r="H158" s="581"/>
      <c r="I158" s="581"/>
      <c r="J158" s="567"/>
      <c r="K158" s="568"/>
    </row>
    <row r="159" spans="1:11" x14ac:dyDescent="0.25">
      <c r="A159" s="590">
        <v>40100</v>
      </c>
      <c r="B159" s="576" t="s">
        <v>119</v>
      </c>
      <c r="C159" s="581">
        <v>52560</v>
      </c>
      <c r="D159" s="581">
        <v>41470.25</v>
      </c>
      <c r="E159" s="902">
        <v>52560</v>
      </c>
      <c r="F159" s="648"/>
      <c r="G159" s="581">
        <v>52560</v>
      </c>
      <c r="H159" s="648"/>
      <c r="I159" s="639">
        <f t="shared" ref="I159:I182" si="16">F159/C159</f>
        <v>0</v>
      </c>
      <c r="J159" s="567"/>
      <c r="K159" s="568"/>
    </row>
    <row r="160" spans="1:11" x14ac:dyDescent="0.25">
      <c r="A160" s="590">
        <v>40100</v>
      </c>
      <c r="B160" s="576" t="s">
        <v>1130</v>
      </c>
      <c r="C160" s="581">
        <v>32136</v>
      </c>
      <c r="D160" s="581">
        <f>26968.35+1574.1+123.6+2164.2+115.88</f>
        <v>30946.129999999997</v>
      </c>
      <c r="E160" s="902">
        <v>35240</v>
      </c>
      <c r="F160" s="648"/>
      <c r="G160" s="581">
        <v>35240</v>
      </c>
      <c r="I160" s="639">
        <f t="shared" si="16"/>
        <v>0</v>
      </c>
      <c r="J160" s="655"/>
      <c r="K160" s="568"/>
    </row>
    <row r="161" spans="1:11" x14ac:dyDescent="0.25">
      <c r="A161" s="590">
        <v>41420</v>
      </c>
      <c r="B161" s="576" t="s">
        <v>1270</v>
      </c>
      <c r="C161" s="581">
        <v>0</v>
      </c>
      <c r="D161" s="581">
        <v>0</v>
      </c>
      <c r="E161" s="902">
        <v>1097</v>
      </c>
      <c r="F161" s="648"/>
      <c r="G161" s="581">
        <v>1097</v>
      </c>
      <c r="H161" s="648"/>
      <c r="I161" s="639" t="e">
        <f t="shared" si="16"/>
        <v>#DIV/0!</v>
      </c>
      <c r="J161" s="567"/>
      <c r="K161" s="568"/>
    </row>
    <row r="162" spans="1:11" x14ac:dyDescent="0.25">
      <c r="A162" s="590">
        <v>41430</v>
      </c>
      <c r="B162" s="576" t="s">
        <v>120</v>
      </c>
      <c r="C162" s="581">
        <v>12592</v>
      </c>
      <c r="D162" s="581">
        <v>3164.85</v>
      </c>
      <c r="E162" s="902">
        <v>6684</v>
      </c>
      <c r="F162" s="648"/>
      <c r="G162" s="581">
        <v>6684</v>
      </c>
      <c r="H162" s="648"/>
      <c r="I162" s="639">
        <f t="shared" si="16"/>
        <v>0</v>
      </c>
      <c r="J162" s="567"/>
      <c r="K162" s="568"/>
    </row>
    <row r="163" spans="1:11" x14ac:dyDescent="0.25">
      <c r="A163" s="590">
        <v>41435</v>
      </c>
      <c r="B163" s="576" t="s">
        <v>121</v>
      </c>
      <c r="C163" s="581">
        <v>0</v>
      </c>
      <c r="D163" s="581">
        <v>4114.5</v>
      </c>
      <c r="E163" s="902">
        <v>4937</v>
      </c>
      <c r="F163" s="648"/>
      <c r="G163" s="581">
        <v>4937</v>
      </c>
      <c r="H163" s="648"/>
      <c r="I163" s="639" t="e">
        <f t="shared" si="16"/>
        <v>#DIV/0!</v>
      </c>
      <c r="J163" s="567"/>
      <c r="K163" s="568"/>
    </row>
    <row r="164" spans="1:11" x14ac:dyDescent="0.25">
      <c r="A164" s="590">
        <v>41440</v>
      </c>
      <c r="B164" s="576" t="s">
        <v>100</v>
      </c>
      <c r="C164" s="581">
        <v>5251</v>
      </c>
      <c r="D164" s="581">
        <v>4540.53</v>
      </c>
      <c r="E164" s="902">
        <v>5444</v>
      </c>
      <c r="F164" s="648"/>
      <c r="G164" s="581">
        <v>5444</v>
      </c>
      <c r="H164" s="648"/>
      <c r="I164" s="639">
        <f t="shared" si="16"/>
        <v>0</v>
      </c>
      <c r="J164" s="567"/>
      <c r="K164" s="568"/>
    </row>
    <row r="165" spans="1:11" x14ac:dyDescent="0.25">
      <c r="A165" s="590">
        <v>41450</v>
      </c>
      <c r="B165" s="576" t="s">
        <v>101</v>
      </c>
      <c r="C165" s="581">
        <v>1228</v>
      </c>
      <c r="D165" s="581">
        <v>1061.8699999999999</v>
      </c>
      <c r="E165" s="902">
        <v>1274</v>
      </c>
      <c r="F165" s="648"/>
      <c r="G165" s="581">
        <v>1274</v>
      </c>
      <c r="H165" s="648"/>
      <c r="I165" s="639">
        <f t="shared" si="16"/>
        <v>0</v>
      </c>
      <c r="J165" s="567"/>
      <c r="K165" s="568"/>
    </row>
    <row r="166" spans="1:11" x14ac:dyDescent="0.25">
      <c r="A166" s="590">
        <v>41470</v>
      </c>
      <c r="B166" s="576" t="s">
        <v>102</v>
      </c>
      <c r="C166" s="581">
        <v>87</v>
      </c>
      <c r="D166" s="581">
        <v>49.56</v>
      </c>
      <c r="E166" s="902">
        <v>87</v>
      </c>
      <c r="F166" s="648"/>
      <c r="G166" s="581">
        <f>58+28.8</f>
        <v>86.8</v>
      </c>
      <c r="H166" s="648"/>
      <c r="I166" s="639">
        <f t="shared" si="16"/>
        <v>0</v>
      </c>
      <c r="J166" s="655"/>
      <c r="K166" s="568"/>
    </row>
    <row r="167" spans="1:11" x14ac:dyDescent="0.25">
      <c r="A167" s="590">
        <v>54110</v>
      </c>
      <c r="B167" s="576" t="s">
        <v>103</v>
      </c>
      <c r="C167" s="581">
        <v>750</v>
      </c>
      <c r="D167" s="581">
        <v>208.44</v>
      </c>
      <c r="E167" s="902">
        <v>700</v>
      </c>
      <c r="F167" s="648"/>
      <c r="G167" s="581">
        <v>700</v>
      </c>
      <c r="H167" s="648"/>
      <c r="I167" s="639">
        <f t="shared" si="16"/>
        <v>0</v>
      </c>
      <c r="J167" s="567"/>
      <c r="K167" s="568"/>
    </row>
    <row r="168" spans="1:11" x14ac:dyDescent="0.25">
      <c r="A168" s="590">
        <v>54120</v>
      </c>
      <c r="B168" s="576" t="s">
        <v>122</v>
      </c>
      <c r="C168" s="581">
        <v>600</v>
      </c>
      <c r="D168" s="581">
        <v>835.1</v>
      </c>
      <c r="E168" s="902">
        <v>700</v>
      </c>
      <c r="F168" s="648"/>
      <c r="G168" s="581">
        <v>700</v>
      </c>
      <c r="H168" s="648"/>
      <c r="I168" s="639">
        <f t="shared" si="16"/>
        <v>0</v>
      </c>
      <c r="J168" s="567"/>
      <c r="K168" s="568"/>
    </row>
    <row r="169" spans="1:11" x14ac:dyDescent="0.25">
      <c r="A169" s="590">
        <v>54214</v>
      </c>
      <c r="B169" s="576" t="s">
        <v>123</v>
      </c>
      <c r="C169" s="581">
        <v>900</v>
      </c>
      <c r="D169" s="581">
        <v>0</v>
      </c>
      <c r="E169" s="902">
        <v>800</v>
      </c>
      <c r="F169" s="648"/>
      <c r="G169" s="581">
        <v>800</v>
      </c>
      <c r="H169" s="648"/>
      <c r="I169" s="639">
        <f t="shared" si="16"/>
        <v>0</v>
      </c>
      <c r="J169" s="567"/>
      <c r="K169" s="568"/>
    </row>
    <row r="170" spans="1:11" x14ac:dyDescent="0.25">
      <c r="A170" s="590">
        <v>60000</v>
      </c>
      <c r="B170" s="576" t="s">
        <v>124</v>
      </c>
      <c r="C170" s="581">
        <v>645</v>
      </c>
      <c r="D170" s="581">
        <v>332.2</v>
      </c>
      <c r="E170" s="902">
        <v>550</v>
      </c>
      <c r="F170" s="648"/>
      <c r="G170" s="581">
        <v>550</v>
      </c>
      <c r="H170" s="648"/>
      <c r="I170" s="639">
        <f t="shared" si="16"/>
        <v>0</v>
      </c>
      <c r="J170" s="567"/>
      <c r="K170" s="568"/>
    </row>
    <row r="171" spans="1:11" x14ac:dyDescent="0.25">
      <c r="A171" s="590">
        <v>61200</v>
      </c>
      <c r="B171" s="576" t="s">
        <v>125</v>
      </c>
      <c r="C171" s="581">
        <v>1000</v>
      </c>
      <c r="D171" s="581">
        <v>419.69</v>
      </c>
      <c r="E171" s="902">
        <v>1000</v>
      </c>
      <c r="F171" s="648"/>
      <c r="G171" s="581">
        <v>1000</v>
      </c>
      <c r="H171" s="648"/>
      <c r="I171" s="639">
        <f t="shared" si="16"/>
        <v>0</v>
      </c>
      <c r="J171" s="567"/>
      <c r="K171" s="568"/>
    </row>
    <row r="172" spans="1:11" x14ac:dyDescent="0.25">
      <c r="A172" s="590">
        <v>62310</v>
      </c>
      <c r="B172" s="576" t="s">
        <v>108</v>
      </c>
      <c r="C172" s="581">
        <v>950</v>
      </c>
      <c r="D172" s="581">
        <v>660.69</v>
      </c>
      <c r="E172" s="902">
        <v>950</v>
      </c>
      <c r="F172" s="648"/>
      <c r="G172" s="581">
        <v>950</v>
      </c>
      <c r="H172" s="648"/>
      <c r="I172" s="639">
        <f t="shared" si="16"/>
        <v>0</v>
      </c>
      <c r="J172" s="567"/>
      <c r="K172" s="568"/>
    </row>
    <row r="173" spans="1:11" x14ac:dyDescent="0.25">
      <c r="A173" s="590">
        <v>62500</v>
      </c>
      <c r="B173" s="576" t="s">
        <v>1201</v>
      </c>
      <c r="C173" s="581">
        <v>1350</v>
      </c>
      <c r="D173" s="581">
        <v>421.18</v>
      </c>
      <c r="E173" s="902">
        <v>1350</v>
      </c>
      <c r="F173" s="648"/>
      <c r="G173" s="581">
        <v>1350</v>
      </c>
      <c r="H173" s="648"/>
      <c r="I173" s="639">
        <f t="shared" si="16"/>
        <v>0</v>
      </c>
      <c r="J173" s="567"/>
      <c r="K173" s="568"/>
    </row>
    <row r="174" spans="1:11" x14ac:dyDescent="0.25">
      <c r="A174" s="590">
        <v>62510</v>
      </c>
      <c r="B174" s="576" t="s">
        <v>110</v>
      </c>
      <c r="C174" s="581">
        <v>870</v>
      </c>
      <c r="D174" s="581">
        <v>839.4</v>
      </c>
      <c r="E174" s="902">
        <v>870</v>
      </c>
      <c r="F174" s="648"/>
      <c r="G174" s="581">
        <v>870</v>
      </c>
      <c r="H174" s="648"/>
      <c r="I174" s="639">
        <f t="shared" si="16"/>
        <v>0</v>
      </c>
      <c r="J174" s="567"/>
      <c r="K174" s="568"/>
    </row>
    <row r="175" spans="1:11" x14ac:dyDescent="0.25">
      <c r="A175" s="590">
        <v>62530</v>
      </c>
      <c r="B175" s="576" t="s">
        <v>171</v>
      </c>
      <c r="C175" s="581">
        <v>2200</v>
      </c>
      <c r="D175" s="581">
        <v>1699.07</v>
      </c>
      <c r="E175" s="902">
        <v>2100</v>
      </c>
      <c r="F175" s="648"/>
      <c r="G175" s="581">
        <v>2100</v>
      </c>
      <c r="H175" s="648"/>
      <c r="I175" s="639">
        <f t="shared" si="16"/>
        <v>0</v>
      </c>
      <c r="J175" s="567"/>
      <c r="K175" s="568"/>
    </row>
    <row r="176" spans="1:11" x14ac:dyDescent="0.25">
      <c r="A176" s="590">
        <v>62550</v>
      </c>
      <c r="B176" s="576" t="s">
        <v>127</v>
      </c>
      <c r="C176" s="581">
        <v>840</v>
      </c>
      <c r="D176" s="581">
        <v>65</v>
      </c>
      <c r="E176" s="902">
        <v>800</v>
      </c>
      <c r="F176" s="648"/>
      <c r="G176" s="581">
        <v>800</v>
      </c>
      <c r="H176" s="648"/>
      <c r="I176" s="639">
        <f t="shared" si="16"/>
        <v>0</v>
      </c>
      <c r="J176" s="567"/>
      <c r="K176" s="568"/>
    </row>
    <row r="177" spans="1:11" x14ac:dyDescent="0.25">
      <c r="A177" s="590">
        <v>63000</v>
      </c>
      <c r="B177" s="576" t="s">
        <v>1260</v>
      </c>
      <c r="C177" s="581">
        <v>2000</v>
      </c>
      <c r="D177" s="581">
        <v>294</v>
      </c>
      <c r="E177" s="902">
        <v>2000</v>
      </c>
      <c r="F177" s="648"/>
      <c r="G177" s="581">
        <v>2000</v>
      </c>
      <c r="H177" s="648"/>
      <c r="I177" s="639">
        <f t="shared" si="16"/>
        <v>0</v>
      </c>
      <c r="J177" s="567"/>
      <c r="K177" s="568"/>
    </row>
    <row r="178" spans="1:11" x14ac:dyDescent="0.25">
      <c r="A178" s="590">
        <v>63203</v>
      </c>
      <c r="B178" s="576" t="s">
        <v>128</v>
      </c>
      <c r="C178" s="581">
        <v>3000</v>
      </c>
      <c r="D178" s="581">
        <v>0</v>
      </c>
      <c r="E178" s="902">
        <v>300</v>
      </c>
      <c r="F178" s="648"/>
      <c r="G178" s="581">
        <v>300</v>
      </c>
      <c r="H178" s="648"/>
      <c r="I178" s="639">
        <f t="shared" si="16"/>
        <v>0</v>
      </c>
      <c r="J178" s="567"/>
      <c r="K178" s="568"/>
    </row>
    <row r="179" spans="1:11" x14ac:dyDescent="0.25">
      <c r="A179" s="590">
        <v>64474</v>
      </c>
      <c r="B179" s="576" t="s">
        <v>129</v>
      </c>
      <c r="C179" s="581">
        <v>18575</v>
      </c>
      <c r="D179" s="581">
        <v>19503.75</v>
      </c>
      <c r="E179" s="902">
        <v>18575</v>
      </c>
      <c r="F179" s="672"/>
      <c r="G179" s="581">
        <v>18575</v>
      </c>
      <c r="H179" s="648"/>
      <c r="I179" s="639">
        <f t="shared" si="16"/>
        <v>0</v>
      </c>
      <c r="J179" s="567"/>
      <c r="K179" s="568"/>
    </row>
    <row r="180" spans="1:11" x14ac:dyDescent="0.25">
      <c r="A180" s="590">
        <v>64500</v>
      </c>
      <c r="B180" s="576" t="s">
        <v>130</v>
      </c>
      <c r="C180" s="581">
        <v>425</v>
      </c>
      <c r="D180" s="581">
        <v>470</v>
      </c>
      <c r="E180" s="902">
        <v>500</v>
      </c>
      <c r="F180" s="672"/>
      <c r="G180" s="581">
        <v>500</v>
      </c>
      <c r="H180" s="648"/>
      <c r="I180" s="639">
        <f t="shared" si="16"/>
        <v>0</v>
      </c>
      <c r="J180" s="567"/>
      <c r="K180" s="568"/>
    </row>
    <row r="181" spans="1:11" x14ac:dyDescent="0.25">
      <c r="A181" s="590">
        <v>65500</v>
      </c>
      <c r="B181" s="576" t="s">
        <v>113</v>
      </c>
      <c r="C181" s="581">
        <v>22</v>
      </c>
      <c r="D181" s="581">
        <v>36.54</v>
      </c>
      <c r="E181" s="902">
        <v>40</v>
      </c>
      <c r="F181" s="672"/>
      <c r="G181" s="581">
        <v>40</v>
      </c>
      <c r="H181" s="648"/>
      <c r="I181" s="639">
        <f t="shared" si="16"/>
        <v>0</v>
      </c>
      <c r="J181" s="567"/>
      <c r="K181" s="568"/>
    </row>
    <row r="182" spans="1:11" x14ac:dyDescent="0.25">
      <c r="A182" s="590">
        <v>68000</v>
      </c>
      <c r="B182" s="576" t="s">
        <v>131</v>
      </c>
      <c r="C182" s="581">
        <v>725</v>
      </c>
      <c r="D182" s="581">
        <v>35</v>
      </c>
      <c r="E182" s="902">
        <v>300</v>
      </c>
      <c r="F182" s="672"/>
      <c r="G182" s="581">
        <v>300</v>
      </c>
      <c r="H182" s="648"/>
      <c r="I182" s="639">
        <f t="shared" si="16"/>
        <v>0</v>
      </c>
      <c r="J182" s="567"/>
      <c r="K182" s="568"/>
    </row>
    <row r="183" spans="1:11" x14ac:dyDescent="0.25">
      <c r="A183" s="590">
        <v>68010</v>
      </c>
      <c r="B183" s="576" t="s">
        <v>132</v>
      </c>
      <c r="C183" s="581">
        <v>600</v>
      </c>
      <c r="D183" s="581">
        <v>520</v>
      </c>
      <c r="E183" s="902">
        <v>520</v>
      </c>
      <c r="F183" s="648"/>
      <c r="G183" s="581">
        <v>520</v>
      </c>
      <c r="H183" s="648"/>
      <c r="I183" s="639">
        <f>F183/C183</f>
        <v>0</v>
      </c>
      <c r="J183" s="567"/>
      <c r="K183" s="568"/>
    </row>
    <row r="184" spans="1:11" x14ac:dyDescent="0.25">
      <c r="A184" s="590">
        <v>69010</v>
      </c>
      <c r="B184" s="576" t="s">
        <v>1202</v>
      </c>
      <c r="C184" s="581">
        <v>500</v>
      </c>
      <c r="D184" s="581">
        <v>0</v>
      </c>
      <c r="E184" s="902">
        <v>400</v>
      </c>
      <c r="F184" s="648"/>
      <c r="G184" s="581">
        <v>400</v>
      </c>
      <c r="H184" s="648"/>
      <c r="I184" s="639">
        <f>F184/C184</f>
        <v>0</v>
      </c>
      <c r="J184" s="567"/>
      <c r="K184" s="568"/>
    </row>
    <row r="185" spans="1:11" x14ac:dyDescent="0.25">
      <c r="A185" s="560"/>
      <c r="B185" s="561" t="s">
        <v>116</v>
      </c>
      <c r="C185" s="563">
        <f t="shared" ref="C185:H185" si="17">SUM(C159:C184)</f>
        <v>139806</v>
      </c>
      <c r="D185" s="563">
        <f t="shared" si="17"/>
        <v>111687.75</v>
      </c>
      <c r="E185" s="954">
        <f t="shared" si="17"/>
        <v>139778</v>
      </c>
      <c r="F185" s="683">
        <f t="shared" si="17"/>
        <v>0</v>
      </c>
      <c r="G185" s="563">
        <f t="shared" si="17"/>
        <v>139777.79999999999</v>
      </c>
      <c r="H185" s="563">
        <f t="shared" si="17"/>
        <v>0</v>
      </c>
      <c r="I185" s="639">
        <f>F185/C185</f>
        <v>0</v>
      </c>
      <c r="J185" s="567"/>
      <c r="K185" s="568"/>
    </row>
    <row r="186" spans="1:11" x14ac:dyDescent="0.25">
      <c r="A186" s="560"/>
      <c r="B186" s="561"/>
      <c r="C186" s="674"/>
      <c r="D186" s="563"/>
      <c r="E186" s="563"/>
      <c r="F186" s="564"/>
      <c r="G186" s="581"/>
      <c r="H186" s="581"/>
      <c r="I186" s="581"/>
      <c r="J186" s="567"/>
      <c r="K186" s="568"/>
    </row>
    <row r="187" spans="1:11" x14ac:dyDescent="0.25">
      <c r="A187" s="687" t="s">
        <v>134</v>
      </c>
      <c r="B187" s="628" t="s">
        <v>133</v>
      </c>
      <c r="C187" s="630">
        <v>2017</v>
      </c>
      <c r="D187" s="629" t="s">
        <v>1236</v>
      </c>
      <c r="E187" s="629">
        <v>2018</v>
      </c>
      <c r="F187" s="630" t="s">
        <v>1236</v>
      </c>
      <c r="G187" s="631" t="s">
        <v>4</v>
      </c>
      <c r="H187" s="631">
        <v>2019</v>
      </c>
      <c r="I187" s="627" t="s">
        <v>5</v>
      </c>
      <c r="J187" s="567"/>
      <c r="K187" s="568"/>
    </row>
    <row r="188" spans="1:11" x14ac:dyDescent="0.25">
      <c r="A188" s="560"/>
      <c r="B188" s="561"/>
      <c r="C188" s="630" t="s">
        <v>6</v>
      </c>
      <c r="D188" s="634">
        <v>43069</v>
      </c>
      <c r="E188" s="629" t="s">
        <v>6</v>
      </c>
      <c r="F188" s="634">
        <v>43131</v>
      </c>
      <c r="G188" s="635" t="s">
        <v>1131</v>
      </c>
      <c r="H188" s="635" t="s">
        <v>6</v>
      </c>
      <c r="I188" s="627" t="s">
        <v>92</v>
      </c>
      <c r="J188" s="567"/>
      <c r="K188" s="568"/>
    </row>
    <row r="189" spans="1:11" x14ac:dyDescent="0.25">
      <c r="A189" s="590"/>
      <c r="B189" s="576" t="s">
        <v>93</v>
      </c>
      <c r="C189" s="578"/>
      <c r="D189" s="577"/>
      <c r="E189" s="577"/>
      <c r="F189" s="564"/>
      <c r="G189" s="581"/>
      <c r="H189" s="581"/>
      <c r="I189" s="581"/>
      <c r="J189" s="567"/>
      <c r="K189" s="568"/>
    </row>
    <row r="190" spans="1:11" x14ac:dyDescent="0.25">
      <c r="A190" s="590">
        <v>40110</v>
      </c>
      <c r="B190" s="576" t="s">
        <v>97</v>
      </c>
      <c r="C190" s="581">
        <v>12740</v>
      </c>
      <c r="D190" s="581">
        <v>14828</v>
      </c>
      <c r="E190" s="902">
        <v>15000</v>
      </c>
      <c r="F190" s="648"/>
      <c r="G190" s="581">
        <v>15000</v>
      </c>
      <c r="H190" s="648"/>
      <c r="I190" s="639">
        <f t="shared" ref="I190:I224" si="18">F190/C190</f>
        <v>0</v>
      </c>
      <c r="J190" s="567"/>
      <c r="K190" s="568"/>
    </row>
    <row r="191" spans="1:11" x14ac:dyDescent="0.25">
      <c r="A191" s="590">
        <v>40120</v>
      </c>
      <c r="B191" s="576" t="s">
        <v>135</v>
      </c>
      <c r="C191" s="581">
        <v>0</v>
      </c>
      <c r="D191" s="581">
        <v>0</v>
      </c>
      <c r="E191" s="902">
        <v>0.01</v>
      </c>
      <c r="F191" s="648"/>
      <c r="G191" s="581">
        <v>0</v>
      </c>
      <c r="H191" s="648"/>
      <c r="I191" s="639" t="e">
        <f t="shared" si="18"/>
        <v>#DIV/0!</v>
      </c>
      <c r="J191" s="567"/>
      <c r="K191" s="568"/>
    </row>
    <row r="192" spans="1:11" x14ac:dyDescent="0.25">
      <c r="A192" s="590">
        <v>40100</v>
      </c>
      <c r="B192" s="576" t="s">
        <v>1287</v>
      </c>
      <c r="C192" s="581"/>
      <c r="D192" s="581"/>
      <c r="E192" s="902">
        <v>3000</v>
      </c>
      <c r="F192" s="648"/>
      <c r="G192" s="581">
        <v>3000</v>
      </c>
      <c r="H192" s="648"/>
      <c r="I192" s="639"/>
      <c r="J192" s="567"/>
      <c r="K192" s="568"/>
    </row>
    <row r="193" spans="1:11" x14ac:dyDescent="0.25">
      <c r="A193" s="590">
        <v>41410</v>
      </c>
      <c r="B193" s="576" t="s">
        <v>478</v>
      </c>
      <c r="C193" s="581"/>
      <c r="D193" s="581">
        <v>44.46</v>
      </c>
      <c r="E193" s="902">
        <f>18000*0.003</f>
        <v>54</v>
      </c>
      <c r="F193" s="648"/>
      <c r="G193" s="581">
        <v>54</v>
      </c>
      <c r="H193" s="648"/>
      <c r="I193" s="639"/>
      <c r="J193" s="567"/>
      <c r="K193" s="568"/>
    </row>
    <row r="194" spans="1:11" x14ac:dyDescent="0.25">
      <c r="A194" s="590">
        <v>41420</v>
      </c>
      <c r="B194" s="576" t="s">
        <v>1270</v>
      </c>
      <c r="C194" s="581"/>
      <c r="D194" s="581"/>
      <c r="E194" s="902">
        <v>27</v>
      </c>
      <c r="F194" s="648"/>
      <c r="G194" s="581">
        <v>27</v>
      </c>
      <c r="H194" s="648"/>
      <c r="I194" s="639"/>
      <c r="J194" s="567"/>
      <c r="K194" s="568"/>
    </row>
    <row r="195" spans="1:11" x14ac:dyDescent="0.25">
      <c r="A195" s="590">
        <v>41430</v>
      </c>
      <c r="B195" s="576" t="s">
        <v>120</v>
      </c>
      <c r="C195" s="581">
        <v>0</v>
      </c>
      <c r="D195" s="581">
        <v>0</v>
      </c>
      <c r="E195" s="902">
        <v>0</v>
      </c>
      <c r="F195" s="648"/>
      <c r="G195" s="581">
        <v>0</v>
      </c>
      <c r="H195" s="648"/>
      <c r="I195" s="639" t="e">
        <f t="shared" si="18"/>
        <v>#DIV/0!</v>
      </c>
      <c r="J195" s="567"/>
      <c r="K195" s="568"/>
    </row>
    <row r="196" spans="1:11" x14ac:dyDescent="0.25">
      <c r="A196" s="590">
        <v>41440</v>
      </c>
      <c r="B196" s="576" t="s">
        <v>100</v>
      </c>
      <c r="C196" s="581">
        <v>790</v>
      </c>
      <c r="D196" s="581">
        <v>919.36</v>
      </c>
      <c r="E196" s="902">
        <f>18000*6.2%</f>
        <v>1116</v>
      </c>
      <c r="F196" s="648"/>
      <c r="G196" s="902">
        <f>18000*6.2%</f>
        <v>1116</v>
      </c>
      <c r="H196" s="581"/>
      <c r="I196" s="639">
        <f t="shared" si="18"/>
        <v>0</v>
      </c>
      <c r="J196" s="567"/>
      <c r="K196" s="568"/>
    </row>
    <row r="197" spans="1:11" x14ac:dyDescent="0.25">
      <c r="A197" s="590">
        <v>41450</v>
      </c>
      <c r="B197" s="576" t="s">
        <v>136</v>
      </c>
      <c r="C197" s="581">
        <v>185</v>
      </c>
      <c r="D197" s="581">
        <v>215.01</v>
      </c>
      <c r="E197" s="902">
        <f>18000*1.45%</f>
        <v>261</v>
      </c>
      <c r="F197" s="648"/>
      <c r="G197" s="902">
        <f>18000*1.45%</f>
        <v>261</v>
      </c>
      <c r="H197" s="581"/>
      <c r="I197" s="639">
        <f t="shared" si="18"/>
        <v>0</v>
      </c>
      <c r="J197" s="567"/>
      <c r="K197" s="568"/>
    </row>
    <row r="198" spans="1:11" x14ac:dyDescent="0.25">
      <c r="A198" s="590">
        <v>41470</v>
      </c>
      <c r="B198" s="576" t="s">
        <v>102</v>
      </c>
      <c r="C198" s="581"/>
      <c r="D198" s="581">
        <v>0</v>
      </c>
      <c r="E198" s="902">
        <v>0.01</v>
      </c>
      <c r="F198" s="648"/>
      <c r="G198" s="581">
        <v>0</v>
      </c>
      <c r="H198" s="648"/>
      <c r="I198" s="639" t="e">
        <f t="shared" si="18"/>
        <v>#DIV/0!</v>
      </c>
      <c r="J198" s="567"/>
      <c r="K198" s="568"/>
    </row>
    <row r="199" spans="1:11" x14ac:dyDescent="0.25">
      <c r="A199" s="590">
        <v>53440</v>
      </c>
      <c r="B199" s="576" t="s">
        <v>137</v>
      </c>
      <c r="C199" s="581">
        <v>1000</v>
      </c>
      <c r="D199" s="581">
        <v>1534.36</v>
      </c>
      <c r="E199" s="902">
        <v>1000</v>
      </c>
      <c r="F199" s="648"/>
      <c r="G199" s="581">
        <v>1000</v>
      </c>
      <c r="H199" s="648"/>
      <c r="I199" s="639">
        <f t="shared" si="18"/>
        <v>0</v>
      </c>
      <c r="J199" s="567"/>
      <c r="K199" s="568"/>
    </row>
    <row r="200" spans="1:11" x14ac:dyDescent="0.25">
      <c r="A200" s="590">
        <v>54118</v>
      </c>
      <c r="B200" s="576" t="s">
        <v>138</v>
      </c>
      <c r="C200" s="581">
        <v>1400</v>
      </c>
      <c r="D200" s="581">
        <v>1026.1500000000001</v>
      </c>
      <c r="E200" s="902">
        <v>1000</v>
      </c>
      <c r="F200" s="648"/>
      <c r="G200" s="581">
        <v>1000</v>
      </c>
      <c r="H200" s="648"/>
      <c r="I200" s="639">
        <f t="shared" si="18"/>
        <v>0</v>
      </c>
      <c r="J200" s="567"/>
      <c r="K200" s="568"/>
    </row>
    <row r="201" spans="1:11" x14ac:dyDescent="0.25">
      <c r="A201" s="590">
        <v>54120</v>
      </c>
      <c r="B201" s="576" t="s">
        <v>104</v>
      </c>
      <c r="C201" s="581">
        <v>1500</v>
      </c>
      <c r="D201" s="581">
        <v>708.39</v>
      </c>
      <c r="E201" s="902">
        <v>800</v>
      </c>
      <c r="F201" s="648"/>
      <c r="G201" s="581">
        <v>800</v>
      </c>
      <c r="H201" s="648"/>
      <c r="I201" s="639">
        <f t="shared" si="18"/>
        <v>0</v>
      </c>
      <c r="J201" s="567"/>
      <c r="K201" s="568"/>
    </row>
    <row r="202" spans="1:11" x14ac:dyDescent="0.25">
      <c r="A202" s="590">
        <v>54215</v>
      </c>
      <c r="B202" s="576" t="s">
        <v>139</v>
      </c>
      <c r="C202" s="581">
        <v>2731</v>
      </c>
      <c r="D202" s="581">
        <v>0</v>
      </c>
      <c r="E202" s="902">
        <v>500</v>
      </c>
      <c r="F202" s="648"/>
      <c r="G202" s="581">
        <v>500</v>
      </c>
      <c r="H202" s="648"/>
      <c r="I202" s="639">
        <f t="shared" si="18"/>
        <v>0</v>
      </c>
      <c r="J202" s="567"/>
      <c r="K202" s="568"/>
    </row>
    <row r="203" spans="1:11" x14ac:dyDescent="0.25">
      <c r="A203" s="590">
        <v>60000</v>
      </c>
      <c r="B203" s="576" t="s">
        <v>140</v>
      </c>
      <c r="C203" s="581">
        <v>200</v>
      </c>
      <c r="D203" s="581">
        <v>56.5</v>
      </c>
      <c r="E203" s="902">
        <v>100</v>
      </c>
      <c r="F203" s="648"/>
      <c r="G203" s="581">
        <v>100</v>
      </c>
      <c r="H203" s="648"/>
      <c r="I203" s="639">
        <f t="shared" si="18"/>
        <v>0</v>
      </c>
      <c r="J203" s="567"/>
      <c r="K203" s="568"/>
    </row>
    <row r="204" spans="1:11" x14ac:dyDescent="0.25">
      <c r="A204" s="590">
        <v>61200</v>
      </c>
      <c r="B204" s="576" t="s">
        <v>141</v>
      </c>
      <c r="C204" s="581">
        <v>925</v>
      </c>
      <c r="D204" s="581">
        <v>640.71</v>
      </c>
      <c r="E204" s="902">
        <v>750</v>
      </c>
      <c r="F204" s="648"/>
      <c r="G204" s="581">
        <v>750</v>
      </c>
      <c r="H204" s="648"/>
      <c r="I204" s="639">
        <f t="shared" si="18"/>
        <v>0</v>
      </c>
      <c r="J204" s="567"/>
      <c r="K204" s="568"/>
    </row>
    <row r="205" spans="1:11" x14ac:dyDescent="0.25">
      <c r="A205" s="590">
        <v>63000</v>
      </c>
      <c r="B205" s="576" t="s">
        <v>142</v>
      </c>
      <c r="C205" s="581">
        <v>1100</v>
      </c>
      <c r="D205" s="581">
        <v>256.75</v>
      </c>
      <c r="E205" s="902">
        <v>400</v>
      </c>
      <c r="F205" s="648"/>
      <c r="G205" s="581">
        <v>400</v>
      </c>
      <c r="H205" s="648"/>
      <c r="I205" s="639">
        <f t="shared" si="18"/>
        <v>0</v>
      </c>
      <c r="J205" s="567"/>
      <c r="K205" s="568"/>
    </row>
    <row r="206" spans="1:11" x14ac:dyDescent="0.25">
      <c r="A206" s="590">
        <v>64410</v>
      </c>
      <c r="B206" s="576" t="s">
        <v>143</v>
      </c>
      <c r="C206" s="581">
        <v>15000</v>
      </c>
      <c r="D206" s="581">
        <v>13216.88</v>
      </c>
      <c r="E206" s="902">
        <v>14000</v>
      </c>
      <c r="F206" s="648"/>
      <c r="G206" s="581">
        <v>14000</v>
      </c>
      <c r="H206" s="648"/>
      <c r="I206" s="639">
        <f t="shared" si="18"/>
        <v>0</v>
      </c>
      <c r="J206" s="928"/>
      <c r="K206" s="929"/>
    </row>
    <row r="207" spans="1:11" x14ac:dyDescent="0.25">
      <c r="A207" s="590">
        <v>64474</v>
      </c>
      <c r="B207" s="576" t="s">
        <v>144</v>
      </c>
      <c r="C207" s="581">
        <v>2000</v>
      </c>
      <c r="D207" s="581">
        <v>2000</v>
      </c>
      <c r="E207" s="902">
        <v>2000</v>
      </c>
      <c r="F207" s="648"/>
      <c r="G207" s="581">
        <v>2000</v>
      </c>
      <c r="H207" s="648"/>
      <c r="I207" s="639">
        <f t="shared" si="18"/>
        <v>0</v>
      </c>
      <c r="J207" s="928"/>
      <c r="K207" s="568"/>
    </row>
    <row r="208" spans="1:11" x14ac:dyDescent="0.25">
      <c r="A208" s="590">
        <v>64479</v>
      </c>
      <c r="B208" s="576" t="s">
        <v>145</v>
      </c>
      <c r="C208" s="581">
        <v>2000</v>
      </c>
      <c r="D208" s="581">
        <v>1407.34</v>
      </c>
      <c r="E208" s="902">
        <v>1750</v>
      </c>
      <c r="F208" s="648"/>
      <c r="G208" s="581">
        <v>1750</v>
      </c>
      <c r="H208" s="648"/>
      <c r="I208" s="639">
        <f t="shared" si="18"/>
        <v>0</v>
      </c>
      <c r="J208" s="567"/>
      <c r="K208" s="568"/>
    </row>
    <row r="209" spans="1:11" x14ac:dyDescent="0.25">
      <c r="A209" s="590">
        <v>64480</v>
      </c>
      <c r="B209" s="576" t="s">
        <v>146</v>
      </c>
      <c r="C209" s="581">
        <v>24000</v>
      </c>
      <c r="D209" s="581">
        <v>24000</v>
      </c>
      <c r="E209" s="902">
        <v>24000</v>
      </c>
      <c r="F209" s="648"/>
      <c r="G209" s="581">
        <v>24000</v>
      </c>
      <c r="H209" s="648"/>
      <c r="I209" s="639">
        <f t="shared" si="18"/>
        <v>0</v>
      </c>
      <c r="J209" s="567"/>
      <c r="K209" s="568"/>
    </row>
    <row r="210" spans="1:11" x14ac:dyDescent="0.25">
      <c r="A210" s="590">
        <v>64500</v>
      </c>
      <c r="B210" s="576" t="s">
        <v>147</v>
      </c>
      <c r="C210" s="581">
        <v>1050</v>
      </c>
      <c r="D210" s="581">
        <v>319.02999999999997</v>
      </c>
      <c r="E210" s="902">
        <v>500</v>
      </c>
      <c r="F210" s="648"/>
      <c r="G210" s="581">
        <v>500</v>
      </c>
      <c r="H210" s="648"/>
      <c r="I210" s="639">
        <f t="shared" si="18"/>
        <v>0</v>
      </c>
      <c r="J210" s="567"/>
      <c r="K210" s="568"/>
    </row>
    <row r="211" spans="1:11" x14ac:dyDescent="0.25">
      <c r="A211" s="590">
        <v>64600</v>
      </c>
      <c r="B211" s="576" t="s">
        <v>148</v>
      </c>
      <c r="C211" s="581">
        <v>10000</v>
      </c>
      <c r="D211" s="581">
        <v>70954.28</v>
      </c>
      <c r="E211" s="902">
        <v>6000</v>
      </c>
      <c r="F211" s="648"/>
      <c r="G211" s="581">
        <v>6000</v>
      </c>
      <c r="H211" s="648"/>
      <c r="I211" s="639">
        <f t="shared" si="18"/>
        <v>0</v>
      </c>
      <c r="J211" s="567"/>
      <c r="K211" s="568"/>
    </row>
    <row r="212" spans="1:11" x14ac:dyDescent="0.25">
      <c r="A212" s="590">
        <v>64700</v>
      </c>
      <c r="B212" s="576" t="s">
        <v>149</v>
      </c>
      <c r="C212" s="581">
        <v>3000</v>
      </c>
      <c r="D212" s="581">
        <v>4720.1000000000004</v>
      </c>
      <c r="E212" s="902">
        <v>4500</v>
      </c>
      <c r="F212" s="648"/>
      <c r="G212" s="581">
        <v>4500</v>
      </c>
      <c r="H212" s="648"/>
      <c r="I212" s="639">
        <f t="shared" si="18"/>
        <v>0</v>
      </c>
      <c r="J212" s="567"/>
      <c r="K212" s="568"/>
    </row>
    <row r="213" spans="1:11" x14ac:dyDescent="0.25">
      <c r="A213" s="590">
        <v>65200</v>
      </c>
      <c r="B213" s="576" t="s">
        <v>150</v>
      </c>
      <c r="C213" s="581">
        <v>14000</v>
      </c>
      <c r="D213" s="581">
        <v>13155.45</v>
      </c>
      <c r="E213" s="902">
        <v>14000</v>
      </c>
      <c r="F213" s="648"/>
      <c r="G213" s="581">
        <v>14000</v>
      </c>
      <c r="H213" s="648"/>
      <c r="I213" s="639">
        <f t="shared" si="18"/>
        <v>0</v>
      </c>
      <c r="J213" s="567"/>
      <c r="K213" s="568"/>
    </row>
    <row r="214" spans="1:11" x14ac:dyDescent="0.25">
      <c r="A214" s="590">
        <v>65300</v>
      </c>
      <c r="B214" s="576" t="s">
        <v>151</v>
      </c>
      <c r="C214" s="581">
        <v>3000</v>
      </c>
      <c r="D214" s="581">
        <v>1600</v>
      </c>
      <c r="E214" s="902">
        <v>1750</v>
      </c>
      <c r="F214" s="648"/>
      <c r="G214" s="581">
        <v>1750</v>
      </c>
      <c r="H214" s="648"/>
      <c r="I214" s="639">
        <f t="shared" si="18"/>
        <v>0</v>
      </c>
      <c r="J214" s="567"/>
      <c r="K214" s="568"/>
    </row>
    <row r="215" spans="1:11" x14ac:dyDescent="0.25">
      <c r="A215" s="590">
        <v>65400</v>
      </c>
      <c r="B215" s="576" t="s">
        <v>892</v>
      </c>
      <c r="C215" s="581">
        <v>5900</v>
      </c>
      <c r="D215" s="581">
        <v>1156.8599999999999</v>
      </c>
      <c r="E215" s="902">
        <v>4000</v>
      </c>
      <c r="F215" s="648"/>
      <c r="G215" s="581">
        <v>4000</v>
      </c>
      <c r="H215" s="648"/>
      <c r="I215" s="639">
        <f t="shared" si="18"/>
        <v>0</v>
      </c>
      <c r="J215" s="567"/>
      <c r="K215" s="568"/>
    </row>
    <row r="216" spans="1:11" x14ac:dyDescent="0.25">
      <c r="A216" s="590">
        <v>65500</v>
      </c>
      <c r="B216" s="576" t="s">
        <v>113</v>
      </c>
      <c r="C216" s="581">
        <v>600</v>
      </c>
      <c r="D216" s="581">
        <v>2408.0700000000002</v>
      </c>
      <c r="E216" s="902">
        <v>1500</v>
      </c>
      <c r="F216" s="648"/>
      <c r="G216" s="581">
        <v>1500</v>
      </c>
      <c r="H216" s="648"/>
      <c r="I216" s="639">
        <f t="shared" si="18"/>
        <v>0</v>
      </c>
      <c r="J216" s="567"/>
      <c r="K216" s="568"/>
    </row>
    <row r="217" spans="1:11" x14ac:dyDescent="0.25">
      <c r="A217" s="590">
        <v>65700</v>
      </c>
      <c r="B217" s="576" t="s">
        <v>1203</v>
      </c>
      <c r="C217" s="581">
        <v>2600</v>
      </c>
      <c r="D217" s="581">
        <v>3490</v>
      </c>
      <c r="E217" s="902">
        <v>3000</v>
      </c>
      <c r="F217" s="648"/>
      <c r="G217" s="581">
        <v>3000</v>
      </c>
      <c r="H217" s="648"/>
      <c r="I217" s="639">
        <f t="shared" si="18"/>
        <v>0</v>
      </c>
      <c r="J217" s="567"/>
      <c r="K217" s="568"/>
    </row>
    <row r="218" spans="1:11" x14ac:dyDescent="0.25">
      <c r="A218" s="590">
        <v>65910</v>
      </c>
      <c r="B218" s="576" t="s">
        <v>154</v>
      </c>
      <c r="C218" s="581">
        <v>0</v>
      </c>
      <c r="D218" s="581">
        <v>0</v>
      </c>
      <c r="E218" s="902">
        <v>0</v>
      </c>
      <c r="F218" s="648"/>
      <c r="G218" s="581">
        <v>0</v>
      </c>
      <c r="H218" s="648"/>
      <c r="I218" s="639" t="e">
        <f t="shared" si="18"/>
        <v>#DIV/0!</v>
      </c>
      <c r="J218" s="567"/>
      <c r="K218" s="568"/>
    </row>
    <row r="219" spans="1:11" x14ac:dyDescent="0.25">
      <c r="A219" s="590">
        <v>66100</v>
      </c>
      <c r="B219" s="576" t="s">
        <v>155</v>
      </c>
      <c r="C219" s="581">
        <v>16338</v>
      </c>
      <c r="D219" s="581">
        <v>17452.7</v>
      </c>
      <c r="E219" s="902">
        <v>17500</v>
      </c>
      <c r="F219" s="648"/>
      <c r="G219" s="581">
        <v>17500</v>
      </c>
      <c r="H219" s="648"/>
      <c r="I219" s="639">
        <f t="shared" si="18"/>
        <v>0</v>
      </c>
      <c r="J219" s="567"/>
      <c r="K219" s="568"/>
    </row>
    <row r="220" spans="1:11" x14ac:dyDescent="0.25">
      <c r="A220" s="590">
        <v>69010</v>
      </c>
      <c r="B220" s="576" t="s">
        <v>156</v>
      </c>
      <c r="C220" s="581">
        <v>2500</v>
      </c>
      <c r="D220" s="581">
        <v>485.02</v>
      </c>
      <c r="E220" s="902">
        <v>500</v>
      </c>
      <c r="F220" s="648"/>
      <c r="G220" s="581">
        <v>500</v>
      </c>
      <c r="H220" s="648"/>
      <c r="I220" s="639">
        <f t="shared" si="18"/>
        <v>0</v>
      </c>
      <c r="J220" s="567"/>
      <c r="K220" s="568"/>
    </row>
    <row r="221" spans="1:11" x14ac:dyDescent="0.25">
      <c r="A221" s="590">
        <v>69200</v>
      </c>
      <c r="B221" s="576" t="s">
        <v>157</v>
      </c>
      <c r="C221" s="581">
        <v>600</v>
      </c>
      <c r="D221" s="581">
        <v>929.36</v>
      </c>
      <c r="E221" s="902">
        <v>900</v>
      </c>
      <c r="F221" s="648"/>
      <c r="G221" s="581">
        <v>900</v>
      </c>
      <c r="H221" s="648"/>
      <c r="I221" s="639">
        <f t="shared" si="18"/>
        <v>0</v>
      </c>
      <c r="J221" s="567"/>
      <c r="K221" s="568"/>
    </row>
    <row r="222" spans="1:11" x14ac:dyDescent="0.25">
      <c r="A222" s="590">
        <v>69920</v>
      </c>
      <c r="B222" s="576" t="s">
        <v>1141</v>
      </c>
      <c r="C222" s="581"/>
      <c r="D222" s="581">
        <v>0</v>
      </c>
      <c r="E222" s="902">
        <v>0</v>
      </c>
      <c r="F222" s="648"/>
      <c r="G222" s="581">
        <v>0</v>
      </c>
      <c r="H222" s="648"/>
      <c r="I222" s="639" t="e">
        <f t="shared" si="18"/>
        <v>#DIV/0!</v>
      </c>
      <c r="J222" s="567"/>
      <c r="K222" s="568"/>
    </row>
    <row r="223" spans="1:11" x14ac:dyDescent="0.25">
      <c r="A223" s="590">
        <v>69921</v>
      </c>
      <c r="B223" s="576" t="s">
        <v>158</v>
      </c>
      <c r="C223" s="581"/>
      <c r="D223" s="581">
        <v>0</v>
      </c>
      <c r="E223" s="902">
        <v>0</v>
      </c>
      <c r="F223" s="648"/>
      <c r="G223" s="581">
        <v>0</v>
      </c>
      <c r="H223" s="648"/>
      <c r="I223" s="639" t="e">
        <f t="shared" si="18"/>
        <v>#DIV/0!</v>
      </c>
      <c r="J223" s="669"/>
      <c r="K223" s="568"/>
    </row>
    <row r="224" spans="1:11" s="569" customFormat="1" x14ac:dyDescent="0.25">
      <c r="A224" s="560"/>
      <c r="B224" s="561" t="s">
        <v>116</v>
      </c>
      <c r="C224" s="563">
        <f t="shared" ref="C224:H224" si="19">SUM(C190:C223)</f>
        <v>125159</v>
      </c>
      <c r="D224" s="563">
        <f t="shared" si="19"/>
        <v>177524.78</v>
      </c>
      <c r="E224" s="954">
        <f t="shared" si="19"/>
        <v>119908.02</v>
      </c>
      <c r="F224" s="675">
        <f t="shared" si="19"/>
        <v>0</v>
      </c>
      <c r="G224" s="563">
        <f t="shared" si="19"/>
        <v>119908</v>
      </c>
      <c r="H224" s="563">
        <f t="shared" si="19"/>
        <v>0</v>
      </c>
      <c r="I224" s="639">
        <f t="shared" si="18"/>
        <v>0</v>
      </c>
      <c r="J224" s="567"/>
      <c r="K224" s="568"/>
    </row>
    <row r="225" spans="1:11" s="569" customFormat="1" x14ac:dyDescent="0.25">
      <c r="A225" s="560"/>
      <c r="B225" s="561"/>
      <c r="C225" s="674"/>
      <c r="D225" s="563"/>
      <c r="E225" s="954"/>
      <c r="F225" s="564"/>
      <c r="G225" s="581"/>
      <c r="H225" s="581"/>
      <c r="I225" s="581"/>
      <c r="J225" s="567"/>
      <c r="K225" s="568"/>
    </row>
    <row r="226" spans="1:11" x14ac:dyDescent="0.25">
      <c r="A226" s="686" t="s">
        <v>159</v>
      </c>
      <c r="B226" s="628" t="s">
        <v>160</v>
      </c>
      <c r="C226" s="630">
        <v>2017</v>
      </c>
      <c r="D226" s="629" t="s">
        <v>1236</v>
      </c>
      <c r="E226" s="629">
        <v>2018</v>
      </c>
      <c r="F226" s="630" t="s">
        <v>1236</v>
      </c>
      <c r="G226" s="631" t="s">
        <v>4</v>
      </c>
      <c r="H226" s="625">
        <v>2019</v>
      </c>
      <c r="I226" s="627" t="s">
        <v>5</v>
      </c>
      <c r="J226" s="567"/>
      <c r="K226" s="568"/>
    </row>
    <row r="227" spans="1:11" x14ac:dyDescent="0.25">
      <c r="A227" s="590"/>
      <c r="B227" s="576" t="s">
        <v>93</v>
      </c>
      <c r="C227" s="630" t="s">
        <v>6</v>
      </c>
      <c r="D227" s="634">
        <v>43069</v>
      </c>
      <c r="E227" s="629" t="s">
        <v>6</v>
      </c>
      <c r="F227" s="634">
        <v>43131</v>
      </c>
      <c r="G227" s="635" t="s">
        <v>1131</v>
      </c>
      <c r="H227" s="626" t="s">
        <v>6</v>
      </c>
      <c r="I227" s="627" t="s">
        <v>92</v>
      </c>
      <c r="J227" s="567"/>
      <c r="K227" s="568"/>
    </row>
    <row r="228" spans="1:11" x14ac:dyDescent="0.25">
      <c r="A228" s="590">
        <v>40100</v>
      </c>
      <c r="B228" s="576" t="s">
        <v>96</v>
      </c>
      <c r="C228" s="581">
        <v>52560</v>
      </c>
      <c r="D228" s="581">
        <v>48180</v>
      </c>
      <c r="E228" s="902">
        <v>52560</v>
      </c>
      <c r="F228" s="648"/>
      <c r="G228" s="581">
        <v>52560</v>
      </c>
      <c r="H228" s="648"/>
      <c r="I228" s="639">
        <f t="shared" ref="I228:I253" si="20">F228/C228</f>
        <v>0</v>
      </c>
      <c r="J228" s="567"/>
      <c r="K228" s="568"/>
    </row>
    <row r="229" spans="1:11" x14ac:dyDescent="0.25">
      <c r="A229" s="590">
        <v>40110</v>
      </c>
      <c r="B229" s="576" t="s">
        <v>161</v>
      </c>
      <c r="C229" s="581">
        <v>35000</v>
      </c>
      <c r="D229" s="581">
        <f>23720+1130+510+7148.84</f>
        <v>32508.84</v>
      </c>
      <c r="E229" s="902">
        <v>36400</v>
      </c>
      <c r="F229" s="648"/>
      <c r="G229" s="581">
        <v>36400</v>
      </c>
      <c r="H229" s="648"/>
      <c r="I229" s="639">
        <f t="shared" si="20"/>
        <v>0</v>
      </c>
      <c r="J229" s="567"/>
      <c r="K229" s="568"/>
    </row>
    <row r="230" spans="1:11" x14ac:dyDescent="0.25">
      <c r="A230" s="590">
        <v>41410</v>
      </c>
      <c r="B230" s="576" t="s">
        <v>478</v>
      </c>
      <c r="C230" s="581"/>
      <c r="D230" s="581">
        <v>113.91</v>
      </c>
      <c r="E230" s="902">
        <v>267</v>
      </c>
      <c r="F230" s="648"/>
      <c r="G230" s="581">
        <v>267</v>
      </c>
      <c r="H230" s="648"/>
      <c r="I230" s="639"/>
      <c r="J230" s="567"/>
      <c r="K230" s="568"/>
    </row>
    <row r="231" spans="1:11" x14ac:dyDescent="0.25">
      <c r="A231" s="590">
        <v>41420</v>
      </c>
      <c r="B231" s="576" t="s">
        <v>1270</v>
      </c>
      <c r="C231" s="581"/>
      <c r="D231" s="581"/>
      <c r="E231" s="902">
        <v>211</v>
      </c>
      <c r="F231" s="648"/>
      <c r="G231" s="581">
        <v>211</v>
      </c>
      <c r="H231" s="648"/>
      <c r="I231" s="639"/>
      <c r="J231" s="567"/>
      <c r="K231" s="568"/>
    </row>
    <row r="232" spans="1:11" x14ac:dyDescent="0.25">
      <c r="A232" s="590">
        <v>41430</v>
      </c>
      <c r="B232" s="576" t="s">
        <v>98</v>
      </c>
      <c r="C232" s="581">
        <v>12592</v>
      </c>
      <c r="D232" s="581">
        <v>14012.05</v>
      </c>
      <c r="E232" s="902">
        <v>16710</v>
      </c>
      <c r="F232" s="648"/>
      <c r="G232" s="581">
        <v>16710</v>
      </c>
      <c r="H232" s="648"/>
      <c r="I232" s="639">
        <f t="shared" si="20"/>
        <v>0</v>
      </c>
      <c r="J232" s="567"/>
      <c r="K232" s="746"/>
    </row>
    <row r="233" spans="1:11" x14ac:dyDescent="0.25">
      <c r="A233" s="590">
        <v>41440</v>
      </c>
      <c r="B233" s="576" t="s">
        <v>100</v>
      </c>
      <c r="C233" s="581">
        <v>5429</v>
      </c>
      <c r="D233" s="581">
        <v>4421.9799999999996</v>
      </c>
      <c r="E233" s="902">
        <v>5516</v>
      </c>
      <c r="F233" s="648"/>
      <c r="G233" s="581">
        <v>5516</v>
      </c>
      <c r="H233" s="581"/>
      <c r="I233" s="639">
        <f t="shared" si="20"/>
        <v>0</v>
      </c>
      <c r="J233" s="567"/>
      <c r="K233" s="568"/>
    </row>
    <row r="234" spans="1:11" x14ac:dyDescent="0.25">
      <c r="A234" s="590">
        <v>41450</v>
      </c>
      <c r="B234" s="576" t="s">
        <v>101</v>
      </c>
      <c r="C234" s="581">
        <v>1270</v>
      </c>
      <c r="D234" s="581">
        <v>1034.22</v>
      </c>
      <c r="E234" s="902">
        <v>1290</v>
      </c>
      <c r="F234" s="648"/>
      <c r="G234" s="581">
        <v>1290</v>
      </c>
      <c r="H234" s="581"/>
      <c r="I234" s="639">
        <f t="shared" si="20"/>
        <v>0</v>
      </c>
      <c r="J234" s="567"/>
      <c r="K234" s="568"/>
    </row>
    <row r="235" spans="1:11" x14ac:dyDescent="0.25">
      <c r="A235" s="590">
        <v>41470</v>
      </c>
      <c r="B235" s="576" t="s">
        <v>102</v>
      </c>
      <c r="C235" s="581">
        <v>58</v>
      </c>
      <c r="D235" s="581">
        <v>48</v>
      </c>
      <c r="E235" s="902">
        <v>58</v>
      </c>
      <c r="F235" s="648"/>
      <c r="G235" s="581">
        <v>58</v>
      </c>
      <c r="H235" s="648"/>
      <c r="I235" s="639">
        <f t="shared" si="20"/>
        <v>0</v>
      </c>
      <c r="J235" s="567"/>
      <c r="K235" s="568"/>
    </row>
    <row r="236" spans="1:11" x14ac:dyDescent="0.25">
      <c r="A236" s="590">
        <v>54110</v>
      </c>
      <c r="B236" s="576" t="s">
        <v>103</v>
      </c>
      <c r="C236" s="581">
        <v>1000</v>
      </c>
      <c r="D236" s="581">
        <v>1755.94</v>
      </c>
      <c r="E236" s="902">
        <v>1000</v>
      </c>
      <c r="F236" s="648"/>
      <c r="G236" s="581">
        <v>1000</v>
      </c>
      <c r="H236" s="648"/>
      <c r="I236" s="639">
        <f t="shared" si="20"/>
        <v>0</v>
      </c>
      <c r="J236" s="567"/>
      <c r="K236" s="568"/>
    </row>
    <row r="237" spans="1:11" x14ac:dyDescent="0.25">
      <c r="A237" s="590">
        <v>54120</v>
      </c>
      <c r="B237" s="576" t="s">
        <v>104</v>
      </c>
      <c r="C237" s="581">
        <v>500</v>
      </c>
      <c r="D237" s="581">
        <v>463.97</v>
      </c>
      <c r="E237" s="902">
        <v>0</v>
      </c>
      <c r="F237" s="648"/>
      <c r="G237" s="581">
        <v>0</v>
      </c>
      <c r="H237" s="648"/>
      <c r="I237" s="639">
        <f t="shared" si="20"/>
        <v>0</v>
      </c>
      <c r="J237" s="567"/>
      <c r="K237" s="568"/>
    </row>
    <row r="238" spans="1:11" x14ac:dyDescent="0.25">
      <c r="A238" s="590">
        <v>60000</v>
      </c>
      <c r="B238" s="576" t="s">
        <v>106</v>
      </c>
      <c r="C238" s="581">
        <v>200</v>
      </c>
      <c r="D238" s="581">
        <v>0</v>
      </c>
      <c r="E238" s="902">
        <v>200</v>
      </c>
      <c r="F238" s="648"/>
      <c r="G238" s="581">
        <v>200</v>
      </c>
      <c r="H238" s="648"/>
      <c r="I238" s="639">
        <f t="shared" si="20"/>
        <v>0</v>
      </c>
      <c r="J238" s="567"/>
      <c r="K238" s="568"/>
    </row>
    <row r="239" spans="1:11" x14ac:dyDescent="0.25">
      <c r="A239" s="590">
        <v>62310</v>
      </c>
      <c r="B239" s="576" t="s">
        <v>1221</v>
      </c>
      <c r="C239" s="581">
        <v>1400</v>
      </c>
      <c r="D239" s="581">
        <v>1757.48</v>
      </c>
      <c r="E239" s="902">
        <v>2000</v>
      </c>
      <c r="F239" s="648"/>
      <c r="G239" s="581">
        <v>2000</v>
      </c>
      <c r="H239" s="648"/>
      <c r="I239" s="639">
        <f t="shared" si="20"/>
        <v>0</v>
      </c>
      <c r="J239" s="567"/>
      <c r="K239" s="568"/>
    </row>
    <row r="240" spans="1:11" x14ac:dyDescent="0.25">
      <c r="A240" s="590">
        <v>62500</v>
      </c>
      <c r="B240" s="576" t="s">
        <v>109</v>
      </c>
      <c r="C240" s="581">
        <v>600</v>
      </c>
      <c r="D240" s="581">
        <v>44.46</v>
      </c>
      <c r="E240" s="902">
        <v>600</v>
      </c>
      <c r="F240" s="648"/>
      <c r="G240" s="581">
        <v>600</v>
      </c>
      <c r="H240" s="648"/>
      <c r="I240" s="639">
        <f t="shared" si="20"/>
        <v>0</v>
      </c>
      <c r="J240" s="567"/>
      <c r="K240" s="568"/>
    </row>
    <row r="241" spans="1:11" x14ac:dyDescent="0.25">
      <c r="A241" s="590">
        <v>62510</v>
      </c>
      <c r="B241" s="576" t="s">
        <v>1192</v>
      </c>
      <c r="C241" s="581">
        <v>800</v>
      </c>
      <c r="D241" s="581">
        <v>153.72999999999999</v>
      </c>
      <c r="E241" s="902">
        <v>800</v>
      </c>
      <c r="F241" s="648"/>
      <c r="G241" s="581">
        <v>800</v>
      </c>
      <c r="H241" s="648"/>
      <c r="I241" s="639">
        <f t="shared" si="20"/>
        <v>0</v>
      </c>
      <c r="J241" s="567"/>
      <c r="K241" s="568"/>
    </row>
    <row r="242" spans="1:11" x14ac:dyDescent="0.25">
      <c r="A242" s="590">
        <v>62530</v>
      </c>
      <c r="B242" s="576" t="s">
        <v>1193</v>
      </c>
      <c r="C242" s="581">
        <v>1500</v>
      </c>
      <c r="D242" s="581">
        <v>282.2</v>
      </c>
      <c r="E242" s="902">
        <v>1500</v>
      </c>
      <c r="F242" s="648"/>
      <c r="G242" s="581">
        <v>1500</v>
      </c>
      <c r="H242" s="648"/>
      <c r="I242" s="639">
        <f t="shared" si="20"/>
        <v>0</v>
      </c>
      <c r="J242" s="567"/>
      <c r="K242" s="568"/>
    </row>
    <row r="243" spans="1:11" x14ac:dyDescent="0.25">
      <c r="A243" s="590">
        <v>62550</v>
      </c>
      <c r="B243" s="576" t="s">
        <v>162</v>
      </c>
      <c r="C243" s="581">
        <v>450</v>
      </c>
      <c r="D243" s="581">
        <v>0</v>
      </c>
      <c r="E243" s="902">
        <v>450</v>
      </c>
      <c r="F243" s="648"/>
      <c r="G243" s="581">
        <v>450</v>
      </c>
      <c r="H243" s="648"/>
      <c r="I243" s="639">
        <f t="shared" si="20"/>
        <v>0</v>
      </c>
      <c r="J243" s="567"/>
      <c r="K243" s="568"/>
    </row>
    <row r="244" spans="1:11" x14ac:dyDescent="0.25">
      <c r="A244" s="590">
        <v>63201</v>
      </c>
      <c r="B244" s="576" t="s">
        <v>163</v>
      </c>
      <c r="C244" s="581">
        <v>1000</v>
      </c>
      <c r="D244" s="581">
        <v>0</v>
      </c>
      <c r="E244" s="902">
        <v>0.01</v>
      </c>
      <c r="F244" s="648"/>
      <c r="G244" s="581">
        <v>0</v>
      </c>
      <c r="H244" s="648"/>
      <c r="I244" s="639">
        <f t="shared" si="20"/>
        <v>0</v>
      </c>
      <c r="J244" s="567"/>
      <c r="K244" s="568"/>
    </row>
    <row r="245" spans="1:11" s="569" customFormat="1" x14ac:dyDescent="0.25">
      <c r="A245" s="590">
        <v>63240</v>
      </c>
      <c r="B245" s="576" t="s">
        <v>1053</v>
      </c>
      <c r="C245" s="581">
        <v>100</v>
      </c>
      <c r="D245" s="581">
        <v>0</v>
      </c>
      <c r="E245" s="902">
        <v>50</v>
      </c>
      <c r="F245" s="672"/>
      <c r="G245" s="581">
        <v>50</v>
      </c>
      <c r="H245" s="672"/>
      <c r="I245" s="639">
        <f t="shared" si="20"/>
        <v>0</v>
      </c>
      <c r="J245" s="567"/>
      <c r="K245" s="568"/>
    </row>
    <row r="246" spans="1:11" x14ac:dyDescent="0.25">
      <c r="A246" s="590">
        <v>63501</v>
      </c>
      <c r="B246" s="576" t="s">
        <v>156</v>
      </c>
      <c r="C246" s="581">
        <v>0</v>
      </c>
      <c r="D246" s="581">
        <v>0</v>
      </c>
      <c r="E246" s="902">
        <v>150</v>
      </c>
      <c r="F246" s="648"/>
      <c r="G246" s="581">
        <v>150</v>
      </c>
      <c r="H246" s="648"/>
      <c r="I246" s="639" t="e">
        <f t="shared" si="20"/>
        <v>#DIV/0!</v>
      </c>
      <c r="J246" s="567"/>
      <c r="K246" s="568"/>
    </row>
    <row r="247" spans="1:11" x14ac:dyDescent="0.25">
      <c r="A247" s="590">
        <v>64410</v>
      </c>
      <c r="B247" s="576" t="s">
        <v>143</v>
      </c>
      <c r="C247" s="581">
        <v>3500</v>
      </c>
      <c r="D247" s="581">
        <v>0</v>
      </c>
      <c r="E247" s="902">
        <v>3500</v>
      </c>
      <c r="F247" s="648"/>
      <c r="G247" s="581">
        <v>3500</v>
      </c>
      <c r="H247" s="648"/>
      <c r="I247" s="639">
        <f t="shared" si="20"/>
        <v>0</v>
      </c>
      <c r="J247" s="567"/>
      <c r="K247" s="568"/>
    </row>
    <row r="248" spans="1:11" x14ac:dyDescent="0.25">
      <c r="A248" s="590">
        <v>64474</v>
      </c>
      <c r="B248" s="576" t="s">
        <v>164</v>
      </c>
      <c r="C248" s="581">
        <v>6000</v>
      </c>
      <c r="D248" s="581">
        <v>6020</v>
      </c>
      <c r="E248" s="902">
        <v>6200</v>
      </c>
      <c r="F248" s="648"/>
      <c r="G248" s="581">
        <v>6200</v>
      </c>
      <c r="H248" s="648"/>
      <c r="I248" s="639">
        <f t="shared" si="20"/>
        <v>0</v>
      </c>
      <c r="J248" s="567"/>
      <c r="K248" s="568"/>
    </row>
    <row r="249" spans="1:11" x14ac:dyDescent="0.25">
      <c r="A249" s="590">
        <v>64476</v>
      </c>
      <c r="B249" s="576" t="s">
        <v>1222</v>
      </c>
      <c r="C249" s="581">
        <v>4000</v>
      </c>
      <c r="D249" s="581">
        <v>0</v>
      </c>
      <c r="E249" s="902">
        <v>4000</v>
      </c>
      <c r="F249" s="648"/>
      <c r="G249" s="581">
        <v>4000</v>
      </c>
      <c r="H249" s="648"/>
      <c r="I249" s="639">
        <f t="shared" si="20"/>
        <v>0</v>
      </c>
      <c r="J249" s="567"/>
      <c r="K249" s="568"/>
    </row>
    <row r="250" spans="1:11" x14ac:dyDescent="0.25">
      <c r="A250" s="590">
        <v>65500</v>
      </c>
      <c r="B250" s="576" t="s">
        <v>113</v>
      </c>
      <c r="C250" s="581">
        <v>0</v>
      </c>
      <c r="D250" s="581">
        <v>117.41</v>
      </c>
      <c r="E250" s="902">
        <v>100</v>
      </c>
      <c r="F250" s="648"/>
      <c r="G250" s="581">
        <v>100</v>
      </c>
      <c r="H250" s="648"/>
      <c r="I250" s="639" t="e">
        <f t="shared" si="20"/>
        <v>#DIV/0!</v>
      </c>
      <c r="J250" s="567"/>
      <c r="K250" s="568"/>
    </row>
    <row r="251" spans="1:11" x14ac:dyDescent="0.25">
      <c r="A251" s="590">
        <v>68000</v>
      </c>
      <c r="B251" s="576" t="s">
        <v>165</v>
      </c>
      <c r="C251" s="581">
        <v>100</v>
      </c>
      <c r="D251" s="581">
        <v>36</v>
      </c>
      <c r="E251" s="902">
        <v>100</v>
      </c>
      <c r="F251" s="648"/>
      <c r="G251" s="581">
        <v>100</v>
      </c>
      <c r="H251" s="648"/>
      <c r="I251" s="639">
        <f t="shared" si="20"/>
        <v>0</v>
      </c>
      <c r="J251" s="567"/>
      <c r="K251" s="568"/>
    </row>
    <row r="252" spans="1:11" x14ac:dyDescent="0.25">
      <c r="A252" s="590">
        <v>68010</v>
      </c>
      <c r="B252" s="576" t="s">
        <v>166</v>
      </c>
      <c r="C252" s="581">
        <v>800</v>
      </c>
      <c r="D252" s="581">
        <v>977.08</v>
      </c>
      <c r="E252" s="902">
        <v>800</v>
      </c>
      <c r="F252" s="648"/>
      <c r="G252" s="581">
        <v>800</v>
      </c>
      <c r="H252" s="648"/>
      <c r="I252" s="639">
        <f t="shared" si="20"/>
        <v>0</v>
      </c>
      <c r="J252" s="567"/>
      <c r="K252" s="568"/>
    </row>
    <row r="253" spans="1:11" x14ac:dyDescent="0.25">
      <c r="A253" s="560"/>
      <c r="B253" s="561" t="s">
        <v>116</v>
      </c>
      <c r="C253" s="563">
        <f t="shared" ref="C253:H253" si="21">SUM(C228:C252)</f>
        <v>128859</v>
      </c>
      <c r="D253" s="563">
        <f t="shared" si="21"/>
        <v>111927.27</v>
      </c>
      <c r="E253" s="954">
        <f t="shared" si="21"/>
        <v>134462.01</v>
      </c>
      <c r="F253" s="683">
        <f t="shared" si="21"/>
        <v>0</v>
      </c>
      <c r="G253" s="563">
        <f t="shared" si="21"/>
        <v>134462</v>
      </c>
      <c r="H253" s="648">
        <f t="shared" si="21"/>
        <v>0</v>
      </c>
      <c r="I253" s="639">
        <f t="shared" si="20"/>
        <v>0</v>
      </c>
      <c r="J253" s="567"/>
      <c r="K253" s="568"/>
    </row>
    <row r="254" spans="1:11" s="569" customFormat="1" x14ac:dyDescent="0.25">
      <c r="A254" s="560"/>
      <c r="B254" s="561"/>
      <c r="C254" s="674"/>
      <c r="D254" s="563"/>
      <c r="E254" s="954"/>
      <c r="F254" s="564"/>
      <c r="G254" s="581"/>
      <c r="H254" s="581"/>
      <c r="I254" s="581"/>
      <c r="J254" s="567"/>
      <c r="K254" s="568"/>
    </row>
    <row r="255" spans="1:11" x14ac:dyDescent="0.25">
      <c r="A255" s="687" t="s">
        <v>168</v>
      </c>
      <c r="B255" s="688" t="s">
        <v>167</v>
      </c>
      <c r="C255" s="630">
        <v>2017</v>
      </c>
      <c r="D255" s="629" t="s">
        <v>1236</v>
      </c>
      <c r="E255" s="629">
        <v>2018</v>
      </c>
      <c r="F255" s="630" t="s">
        <v>1236</v>
      </c>
      <c r="G255" s="631" t="s">
        <v>4</v>
      </c>
      <c r="H255" s="631">
        <v>2019</v>
      </c>
      <c r="I255" s="627" t="s">
        <v>5</v>
      </c>
      <c r="J255" s="567"/>
      <c r="K255" s="568"/>
    </row>
    <row r="256" spans="1:11" x14ac:dyDescent="0.25">
      <c r="A256" s="560"/>
      <c r="B256" s="576"/>
      <c r="C256" s="630" t="s">
        <v>6</v>
      </c>
      <c r="D256" s="634">
        <v>43069</v>
      </c>
      <c r="E256" s="629" t="s">
        <v>6</v>
      </c>
      <c r="F256" s="634">
        <v>43131</v>
      </c>
      <c r="G256" s="635" t="s">
        <v>1131</v>
      </c>
      <c r="H256" s="635" t="s">
        <v>6</v>
      </c>
      <c r="I256" s="627" t="s">
        <v>92</v>
      </c>
      <c r="J256" s="567"/>
      <c r="K256" s="568"/>
    </row>
    <row r="257" spans="1:11" x14ac:dyDescent="0.25">
      <c r="A257" s="590"/>
      <c r="B257" s="576" t="s">
        <v>93</v>
      </c>
      <c r="C257" s="578"/>
      <c r="D257" s="593"/>
      <c r="E257" s="593"/>
      <c r="F257" s="564"/>
      <c r="G257" s="581"/>
      <c r="H257" s="581"/>
      <c r="I257" s="581"/>
      <c r="J257" s="567"/>
      <c r="K257" s="568"/>
    </row>
    <row r="258" spans="1:11" x14ac:dyDescent="0.25">
      <c r="A258" s="590">
        <v>40110</v>
      </c>
      <c r="B258" s="576" t="s">
        <v>97</v>
      </c>
      <c r="C258" s="581">
        <v>0</v>
      </c>
      <c r="D258" s="581">
        <v>0</v>
      </c>
      <c r="E258" s="902">
        <v>0</v>
      </c>
      <c r="F258" s="648"/>
      <c r="G258" s="581">
        <v>0</v>
      </c>
      <c r="I258" s="639" t="e">
        <f t="shared" ref="I258:I277" si="22">F258/C258</f>
        <v>#DIV/0!</v>
      </c>
      <c r="J258" s="567"/>
      <c r="K258" s="568"/>
    </row>
    <row r="259" spans="1:11" x14ac:dyDescent="0.25">
      <c r="A259" s="590">
        <v>41440</v>
      </c>
      <c r="B259" s="576" t="s">
        <v>100</v>
      </c>
      <c r="C259" s="581">
        <v>0</v>
      </c>
      <c r="D259" s="581">
        <v>0</v>
      </c>
      <c r="E259" s="902">
        <v>0</v>
      </c>
      <c r="F259" s="648"/>
      <c r="G259" s="581">
        <v>0</v>
      </c>
      <c r="I259" s="639" t="e">
        <f t="shared" si="22"/>
        <v>#DIV/0!</v>
      </c>
      <c r="J259" s="567"/>
      <c r="K259" s="568"/>
    </row>
    <row r="260" spans="1:11" x14ac:dyDescent="0.25">
      <c r="A260" s="590">
        <v>41450</v>
      </c>
      <c r="B260" s="576" t="s">
        <v>101</v>
      </c>
      <c r="C260" s="581">
        <v>0</v>
      </c>
      <c r="D260" s="581">
        <v>0</v>
      </c>
      <c r="E260" s="902">
        <v>0</v>
      </c>
      <c r="F260" s="648"/>
      <c r="G260" s="581">
        <v>0</v>
      </c>
      <c r="I260" s="639" t="e">
        <f t="shared" si="22"/>
        <v>#DIV/0!</v>
      </c>
      <c r="J260" s="567"/>
      <c r="K260" s="568"/>
    </row>
    <row r="261" spans="1:11" x14ac:dyDescent="0.25">
      <c r="A261" s="590">
        <v>41430</v>
      </c>
      <c r="B261" s="576" t="s">
        <v>98</v>
      </c>
      <c r="C261" s="581">
        <v>0</v>
      </c>
      <c r="D261" s="581">
        <v>0</v>
      </c>
      <c r="E261" s="902">
        <v>0</v>
      </c>
      <c r="F261" s="648"/>
      <c r="G261" s="581">
        <v>0</v>
      </c>
      <c r="I261" s="639" t="e">
        <f t="shared" si="22"/>
        <v>#DIV/0!</v>
      </c>
      <c r="J261" s="567"/>
      <c r="K261" s="568"/>
    </row>
    <row r="262" spans="1:11" x14ac:dyDescent="0.25">
      <c r="A262" s="590">
        <v>41470</v>
      </c>
      <c r="B262" s="576" t="s">
        <v>102</v>
      </c>
      <c r="C262" s="581">
        <v>0</v>
      </c>
      <c r="D262" s="581">
        <v>0</v>
      </c>
      <c r="E262" s="902">
        <v>0</v>
      </c>
      <c r="F262" s="648"/>
      <c r="G262" s="581">
        <v>0</v>
      </c>
      <c r="I262" s="639" t="e">
        <f t="shared" si="22"/>
        <v>#DIV/0!</v>
      </c>
      <c r="J262" s="567"/>
      <c r="K262" s="568"/>
    </row>
    <row r="263" spans="1:11" x14ac:dyDescent="0.25">
      <c r="A263" s="590">
        <v>54110</v>
      </c>
      <c r="B263" s="576" t="s">
        <v>103</v>
      </c>
      <c r="C263" s="581">
        <v>1000</v>
      </c>
      <c r="D263" s="581">
        <v>0</v>
      </c>
      <c r="E263" s="902">
        <v>2000</v>
      </c>
      <c r="F263" s="648"/>
      <c r="G263" s="581">
        <v>2000</v>
      </c>
      <c r="I263" s="639">
        <f t="shared" si="22"/>
        <v>0</v>
      </c>
      <c r="J263" s="567"/>
      <c r="K263" s="568"/>
    </row>
    <row r="264" spans="1:11" x14ac:dyDescent="0.25">
      <c r="A264" s="590">
        <v>56870</v>
      </c>
      <c r="B264" s="576" t="s">
        <v>169</v>
      </c>
      <c r="C264" s="581">
        <v>0</v>
      </c>
      <c r="D264" s="581">
        <v>0</v>
      </c>
      <c r="E264" s="902">
        <v>0</v>
      </c>
      <c r="F264" s="648"/>
      <c r="G264" s="581">
        <v>0</v>
      </c>
      <c r="I264" s="639" t="e">
        <f t="shared" si="22"/>
        <v>#DIV/0!</v>
      </c>
      <c r="J264" s="666"/>
      <c r="K264" s="568"/>
    </row>
    <row r="265" spans="1:11" x14ac:dyDescent="0.25">
      <c r="A265" s="590">
        <v>60000</v>
      </c>
      <c r="B265" s="576" t="s">
        <v>170</v>
      </c>
      <c r="C265" s="581">
        <v>500</v>
      </c>
      <c r="D265" s="581">
        <v>0</v>
      </c>
      <c r="E265" s="902">
        <v>1700</v>
      </c>
      <c r="F265" s="648"/>
      <c r="G265" s="581">
        <v>1700</v>
      </c>
      <c r="I265" s="639">
        <f t="shared" si="22"/>
        <v>0</v>
      </c>
      <c r="J265" s="567"/>
      <c r="K265" s="568"/>
    </row>
    <row r="266" spans="1:11" x14ac:dyDescent="0.25">
      <c r="A266" s="590">
        <v>62310</v>
      </c>
      <c r="B266" s="576" t="s">
        <v>108</v>
      </c>
      <c r="C266" s="581">
        <v>700</v>
      </c>
      <c r="D266" s="581">
        <v>0</v>
      </c>
      <c r="E266" s="902">
        <v>2000</v>
      </c>
      <c r="F266" s="648"/>
      <c r="G266" s="581">
        <v>2000</v>
      </c>
      <c r="I266" s="639">
        <f t="shared" si="22"/>
        <v>0</v>
      </c>
      <c r="J266" s="567"/>
      <c r="K266" s="568"/>
    </row>
    <row r="267" spans="1:11" x14ac:dyDescent="0.25">
      <c r="A267" s="590">
        <v>62500</v>
      </c>
      <c r="B267" s="576" t="s">
        <v>109</v>
      </c>
      <c r="C267" s="581">
        <v>0</v>
      </c>
      <c r="D267" s="581">
        <v>0</v>
      </c>
      <c r="E267" s="902">
        <v>0.01</v>
      </c>
      <c r="F267" s="648"/>
      <c r="G267" s="581">
        <v>0</v>
      </c>
      <c r="I267" s="639" t="e">
        <f t="shared" si="22"/>
        <v>#DIV/0!</v>
      </c>
      <c r="J267" s="567"/>
      <c r="K267" s="568"/>
    </row>
    <row r="268" spans="1:11" x14ac:dyDescent="0.25">
      <c r="A268" s="590">
        <v>62510</v>
      </c>
      <c r="B268" s="576" t="s">
        <v>110</v>
      </c>
      <c r="C268" s="581">
        <v>0</v>
      </c>
      <c r="D268" s="581">
        <v>0</v>
      </c>
      <c r="E268" s="902">
        <v>0.01</v>
      </c>
      <c r="F268" s="648"/>
      <c r="G268" s="581">
        <v>0</v>
      </c>
      <c r="I268" s="639" t="e">
        <f t="shared" si="22"/>
        <v>#DIV/0!</v>
      </c>
      <c r="J268" s="567"/>
      <c r="K268" s="568"/>
    </row>
    <row r="269" spans="1:11" x14ac:dyDescent="0.25">
      <c r="A269" s="590">
        <v>62530</v>
      </c>
      <c r="B269" s="576" t="s">
        <v>171</v>
      </c>
      <c r="C269" s="581">
        <v>0</v>
      </c>
      <c r="D269" s="581">
        <v>0</v>
      </c>
      <c r="E269" s="902">
        <v>0.01</v>
      </c>
      <c r="F269" s="648"/>
      <c r="G269" s="581">
        <v>0</v>
      </c>
      <c r="I269" s="639" t="e">
        <f t="shared" si="22"/>
        <v>#DIV/0!</v>
      </c>
      <c r="J269" s="567"/>
      <c r="K269" s="568"/>
    </row>
    <row r="270" spans="1:11" x14ac:dyDescent="0.25">
      <c r="A270" s="590">
        <v>62550</v>
      </c>
      <c r="B270" s="576" t="s">
        <v>162</v>
      </c>
      <c r="C270" s="581">
        <v>1000</v>
      </c>
      <c r="D270" s="581">
        <v>20</v>
      </c>
      <c r="E270" s="902">
        <v>1000</v>
      </c>
      <c r="F270" s="648"/>
      <c r="G270" s="581">
        <v>1000</v>
      </c>
      <c r="I270" s="639">
        <f t="shared" si="22"/>
        <v>0</v>
      </c>
      <c r="J270" s="567"/>
      <c r="K270" s="568"/>
    </row>
    <row r="271" spans="1:11" x14ac:dyDescent="0.25">
      <c r="A271" s="590">
        <v>62950</v>
      </c>
      <c r="B271" s="576" t="s">
        <v>172</v>
      </c>
      <c r="C271" s="581">
        <v>700</v>
      </c>
      <c r="D271" s="581">
        <v>134.93</v>
      </c>
      <c r="E271" s="902">
        <v>2000</v>
      </c>
      <c r="F271" s="648"/>
      <c r="G271" s="581">
        <v>2000</v>
      </c>
      <c r="I271" s="639">
        <f t="shared" si="22"/>
        <v>0</v>
      </c>
      <c r="J271" s="567"/>
      <c r="K271" s="568"/>
    </row>
    <row r="272" spans="1:11" x14ac:dyDescent="0.25">
      <c r="A272" s="590">
        <v>63501</v>
      </c>
      <c r="B272" s="576" t="s">
        <v>156</v>
      </c>
      <c r="C272" s="581">
        <v>0</v>
      </c>
      <c r="D272" s="581">
        <v>0</v>
      </c>
      <c r="E272" s="902">
        <v>0</v>
      </c>
      <c r="F272" s="648"/>
      <c r="G272" s="581">
        <v>0</v>
      </c>
      <c r="I272" s="639" t="e">
        <f t="shared" si="22"/>
        <v>#DIV/0!</v>
      </c>
      <c r="J272" s="567"/>
      <c r="K272" s="568"/>
    </row>
    <row r="273" spans="1:11" x14ac:dyDescent="0.25">
      <c r="A273" s="590">
        <v>64410</v>
      </c>
      <c r="B273" s="576" t="s">
        <v>143</v>
      </c>
      <c r="C273" s="581">
        <v>3500</v>
      </c>
      <c r="D273" s="581">
        <v>0</v>
      </c>
      <c r="E273" s="902">
        <v>3500</v>
      </c>
      <c r="F273" s="648"/>
      <c r="G273" s="581">
        <v>3500</v>
      </c>
      <c r="I273" s="639">
        <f t="shared" si="22"/>
        <v>0</v>
      </c>
      <c r="J273" s="567"/>
      <c r="K273" s="568"/>
    </row>
    <row r="274" spans="1:11" x14ac:dyDescent="0.25">
      <c r="A274" s="590">
        <v>64411</v>
      </c>
      <c r="B274" s="576" t="s">
        <v>173</v>
      </c>
      <c r="C274" s="581">
        <v>8900</v>
      </c>
      <c r="D274" s="581">
        <v>7000</v>
      </c>
      <c r="E274" s="901">
        <v>7000</v>
      </c>
      <c r="F274" s="648"/>
      <c r="G274" s="581">
        <v>7000</v>
      </c>
      <c r="I274" s="639">
        <f t="shared" si="22"/>
        <v>0</v>
      </c>
      <c r="J274" s="567"/>
      <c r="K274" s="568"/>
    </row>
    <row r="275" spans="1:11" x14ac:dyDescent="0.25">
      <c r="A275" s="590">
        <v>64467</v>
      </c>
      <c r="B275" s="576" t="s">
        <v>174</v>
      </c>
      <c r="C275" s="581">
        <v>5000</v>
      </c>
      <c r="D275" s="581">
        <v>0</v>
      </c>
      <c r="E275" s="901">
        <v>15000</v>
      </c>
      <c r="F275" s="648"/>
      <c r="G275" s="581">
        <v>15000</v>
      </c>
      <c r="I275" s="639">
        <f t="shared" si="22"/>
        <v>0</v>
      </c>
      <c r="J275" s="567"/>
      <c r="K275" s="568"/>
    </row>
    <row r="276" spans="1:11" x14ac:dyDescent="0.25">
      <c r="A276" s="590">
        <v>65920</v>
      </c>
      <c r="B276" s="576" t="s">
        <v>175</v>
      </c>
      <c r="C276" s="581">
        <v>3000</v>
      </c>
      <c r="D276" s="581">
        <v>0</v>
      </c>
      <c r="E276" s="901">
        <v>0</v>
      </c>
      <c r="F276" s="648"/>
      <c r="G276" s="581">
        <v>0</v>
      </c>
      <c r="I276" s="639">
        <f t="shared" si="22"/>
        <v>0</v>
      </c>
      <c r="J276" s="567"/>
      <c r="K276" s="568"/>
    </row>
    <row r="277" spans="1:11" x14ac:dyDescent="0.25">
      <c r="A277" s="560"/>
      <c r="B277" s="561" t="s">
        <v>116</v>
      </c>
      <c r="C277" s="563">
        <f>SUM(C258:C276)</f>
        <v>24300</v>
      </c>
      <c r="D277" s="616">
        <f t="shared" ref="D277:H277" si="23">SUM(D258:D276)</f>
        <v>7154.93</v>
      </c>
      <c r="E277" s="955">
        <f>SUM(E258:E276)</f>
        <v>34200.03</v>
      </c>
      <c r="F277" s="683">
        <f t="shared" si="23"/>
        <v>0</v>
      </c>
      <c r="G277" s="616">
        <f>SUM(G258:G276)</f>
        <v>34200</v>
      </c>
      <c r="H277" s="616">
        <f t="shared" si="23"/>
        <v>0</v>
      </c>
      <c r="I277" s="639">
        <f t="shared" si="22"/>
        <v>0</v>
      </c>
      <c r="J277" s="567"/>
      <c r="K277" s="568"/>
    </row>
    <row r="278" spans="1:11" s="569" customFormat="1" x14ac:dyDescent="0.25">
      <c r="A278" s="560"/>
      <c r="B278" s="561"/>
      <c r="C278" s="674"/>
      <c r="D278" s="616"/>
      <c r="E278" s="955"/>
      <c r="F278" s="564"/>
      <c r="G278" s="581"/>
      <c r="H278" s="581"/>
      <c r="I278" s="581"/>
      <c r="J278" s="567"/>
      <c r="K278" s="568"/>
    </row>
    <row r="279" spans="1:11" x14ac:dyDescent="0.25">
      <c r="A279" s="687" t="s">
        <v>177</v>
      </c>
      <c r="B279" s="628" t="s">
        <v>176</v>
      </c>
      <c r="C279" s="630">
        <v>2017</v>
      </c>
      <c r="D279" s="629" t="s">
        <v>1236</v>
      </c>
      <c r="E279" s="629">
        <v>2018</v>
      </c>
      <c r="F279" s="630" t="s">
        <v>1236</v>
      </c>
      <c r="G279" s="631" t="s">
        <v>4</v>
      </c>
      <c r="H279" s="631">
        <v>2019</v>
      </c>
      <c r="I279" s="627" t="s">
        <v>5</v>
      </c>
      <c r="J279" s="567"/>
      <c r="K279" s="568"/>
    </row>
    <row r="280" spans="1:11" x14ac:dyDescent="0.25">
      <c r="A280" s="560"/>
      <c r="B280" s="561"/>
      <c r="C280" s="630" t="s">
        <v>6</v>
      </c>
      <c r="D280" s="634">
        <v>43069</v>
      </c>
      <c r="E280" s="629" t="s">
        <v>6</v>
      </c>
      <c r="F280" s="634">
        <v>43131</v>
      </c>
      <c r="G280" s="635" t="s">
        <v>1131</v>
      </c>
      <c r="H280" s="635" t="s">
        <v>6</v>
      </c>
      <c r="I280" s="627" t="s">
        <v>92</v>
      </c>
      <c r="J280" s="567"/>
      <c r="K280" s="568"/>
    </row>
    <row r="281" spans="1:11" x14ac:dyDescent="0.25">
      <c r="A281" s="560"/>
      <c r="B281" s="561"/>
      <c r="C281" s="578"/>
      <c r="D281" s="593"/>
      <c r="E281" s="593"/>
      <c r="F281" s="564"/>
      <c r="G281" s="581"/>
      <c r="H281" s="581"/>
      <c r="I281" s="581"/>
      <c r="J281" s="567"/>
      <c r="K281" s="568"/>
    </row>
    <row r="282" spans="1:11" x14ac:dyDescent="0.25">
      <c r="A282" s="590">
        <v>63220</v>
      </c>
      <c r="B282" s="576" t="s">
        <v>178</v>
      </c>
      <c r="C282" s="581">
        <v>16594</v>
      </c>
      <c r="D282" s="581">
        <v>16594</v>
      </c>
      <c r="E282" s="562">
        <v>17805</v>
      </c>
      <c r="F282" s="648"/>
      <c r="G282" s="581">
        <v>17805</v>
      </c>
      <c r="I282" s="639">
        <f>F282/C282</f>
        <v>0</v>
      </c>
      <c r="J282" s="928"/>
      <c r="K282" s="568"/>
    </row>
    <row r="283" spans="1:11" x14ac:dyDescent="0.25">
      <c r="A283" s="590">
        <v>69999</v>
      </c>
      <c r="B283" s="576" t="s">
        <v>179</v>
      </c>
      <c r="C283" s="581"/>
      <c r="D283" s="581">
        <v>0</v>
      </c>
      <c r="E283" s="562">
        <v>0.01</v>
      </c>
      <c r="F283" s="648"/>
      <c r="G283" s="581">
        <v>0</v>
      </c>
      <c r="I283" s="639" t="e">
        <f>F283/C283</f>
        <v>#DIV/0!</v>
      </c>
      <c r="J283" s="567"/>
      <c r="K283" s="568"/>
    </row>
    <row r="284" spans="1:11" x14ac:dyDescent="0.25">
      <c r="A284" s="590">
        <v>41420</v>
      </c>
      <c r="B284" s="576" t="s">
        <v>180</v>
      </c>
      <c r="C284" s="581"/>
      <c r="D284" s="581">
        <v>0</v>
      </c>
      <c r="E284" s="562">
        <v>0.01</v>
      </c>
      <c r="F284" s="648"/>
      <c r="G284" s="581">
        <v>0</v>
      </c>
      <c r="I284" s="639" t="e">
        <f>F284/C284</f>
        <v>#DIV/0!</v>
      </c>
      <c r="J284" s="567"/>
      <c r="K284" s="568"/>
    </row>
    <row r="285" spans="1:11" x14ac:dyDescent="0.25">
      <c r="A285" s="560"/>
      <c r="B285" s="561" t="s">
        <v>116</v>
      </c>
      <c r="C285" s="563">
        <f>SUM(C282:C284)</f>
        <v>16594</v>
      </c>
      <c r="D285" s="563">
        <f t="shared" ref="D285:H285" si="24">SUM(D282:D284)</f>
        <v>16594</v>
      </c>
      <c r="E285" s="563">
        <f>SUM(E282:E284)</f>
        <v>17805.019999999997</v>
      </c>
      <c r="F285" s="683">
        <f t="shared" si="24"/>
        <v>0</v>
      </c>
      <c r="G285" s="563">
        <f>SUM(G282:G284)</f>
        <v>17805</v>
      </c>
      <c r="H285" s="563">
        <f t="shared" si="24"/>
        <v>0</v>
      </c>
      <c r="I285" s="639">
        <f>F285/C285</f>
        <v>0</v>
      </c>
      <c r="J285" s="567"/>
      <c r="K285" s="568"/>
    </row>
    <row r="286" spans="1:11" s="569" customFormat="1" x14ac:dyDescent="0.25">
      <c r="A286" s="590"/>
      <c r="B286" s="576"/>
      <c r="C286" s="564"/>
      <c r="D286" s="576"/>
      <c r="E286" s="616"/>
      <c r="F286" s="564"/>
      <c r="G286" s="581"/>
      <c r="H286" s="581"/>
      <c r="I286" s="581"/>
      <c r="J286" s="567"/>
      <c r="K286" s="568"/>
    </row>
    <row r="287" spans="1:11" x14ac:dyDescent="0.25">
      <c r="A287" s="687" t="s">
        <v>182</v>
      </c>
      <c r="B287" s="628" t="s">
        <v>181</v>
      </c>
      <c r="C287" s="630">
        <v>2017</v>
      </c>
      <c r="D287" s="629" t="s">
        <v>1236</v>
      </c>
      <c r="E287" s="629">
        <v>2018</v>
      </c>
      <c r="F287" s="630" t="s">
        <v>1236</v>
      </c>
      <c r="G287" s="631" t="s">
        <v>4</v>
      </c>
      <c r="H287" s="631">
        <v>2019</v>
      </c>
      <c r="I287" s="627" t="s">
        <v>5</v>
      </c>
      <c r="J287" s="567"/>
      <c r="K287" s="568"/>
    </row>
    <row r="288" spans="1:11" x14ac:dyDescent="0.25">
      <c r="A288" s="560"/>
      <c r="B288" s="561"/>
      <c r="C288" s="630" t="s">
        <v>6</v>
      </c>
      <c r="D288" s="634">
        <v>43069</v>
      </c>
      <c r="E288" s="629" t="s">
        <v>6</v>
      </c>
      <c r="F288" s="634">
        <v>43131</v>
      </c>
      <c r="G288" s="635" t="s">
        <v>1131</v>
      </c>
      <c r="H288" s="635" t="s">
        <v>6</v>
      </c>
      <c r="I288" s="627" t="s">
        <v>92</v>
      </c>
      <c r="J288" s="567"/>
      <c r="K288" s="568"/>
    </row>
    <row r="289" spans="1:11" x14ac:dyDescent="0.25">
      <c r="A289" s="590"/>
      <c r="B289" s="576" t="s">
        <v>93</v>
      </c>
      <c r="C289" s="578"/>
      <c r="D289" s="593"/>
      <c r="E289" s="593"/>
      <c r="F289" s="564"/>
      <c r="G289" s="581"/>
      <c r="H289" s="581"/>
      <c r="I289" s="581"/>
      <c r="J289" s="567"/>
      <c r="K289" s="568"/>
    </row>
    <row r="290" spans="1:11" x14ac:dyDescent="0.25">
      <c r="A290" s="590">
        <v>54110</v>
      </c>
      <c r="B290" s="576" t="s">
        <v>183</v>
      </c>
      <c r="C290" s="581">
        <v>500</v>
      </c>
      <c r="D290" s="581">
        <v>197.86</v>
      </c>
      <c r="E290" s="562">
        <v>200</v>
      </c>
      <c r="F290" s="648"/>
      <c r="G290" s="581">
        <v>200</v>
      </c>
      <c r="I290" s="639">
        <f t="shared" ref="I290:I299" si="25">F290/C290</f>
        <v>0</v>
      </c>
      <c r="J290" s="567"/>
      <c r="K290" s="568"/>
    </row>
    <row r="291" spans="1:11" x14ac:dyDescent="0.25">
      <c r="A291" s="590">
        <v>62500</v>
      </c>
      <c r="B291" s="576" t="s">
        <v>109</v>
      </c>
      <c r="C291" s="581">
        <v>700</v>
      </c>
      <c r="D291" s="581">
        <v>14.15</v>
      </c>
      <c r="E291" s="562">
        <v>100</v>
      </c>
      <c r="F291" s="648"/>
      <c r="G291" s="581">
        <v>100</v>
      </c>
      <c r="I291" s="639">
        <f t="shared" si="25"/>
        <v>0</v>
      </c>
      <c r="J291" s="567"/>
      <c r="K291" s="568"/>
    </row>
    <row r="292" spans="1:11" x14ac:dyDescent="0.25">
      <c r="A292" s="590">
        <v>62510</v>
      </c>
      <c r="B292" s="576" t="s">
        <v>110</v>
      </c>
      <c r="C292" s="581">
        <v>100</v>
      </c>
      <c r="D292" s="581">
        <v>52.62</v>
      </c>
      <c r="E292" s="562">
        <v>100</v>
      </c>
      <c r="F292" s="648"/>
      <c r="G292" s="581">
        <v>100</v>
      </c>
      <c r="I292" s="639">
        <f t="shared" si="25"/>
        <v>0</v>
      </c>
      <c r="J292" s="567"/>
      <c r="K292" s="568"/>
    </row>
    <row r="293" spans="1:11" x14ac:dyDescent="0.25">
      <c r="A293" s="590">
        <v>62530</v>
      </c>
      <c r="B293" s="576" t="s">
        <v>126</v>
      </c>
      <c r="C293" s="581">
        <v>250</v>
      </c>
      <c r="D293" s="581">
        <v>218</v>
      </c>
      <c r="E293" s="562">
        <v>250</v>
      </c>
      <c r="F293" s="648"/>
      <c r="G293" s="581">
        <v>250</v>
      </c>
      <c r="I293" s="639">
        <f t="shared" si="25"/>
        <v>0</v>
      </c>
      <c r="J293" s="567"/>
      <c r="K293" s="568"/>
    </row>
    <row r="294" spans="1:11" x14ac:dyDescent="0.25">
      <c r="A294" s="590">
        <v>62550</v>
      </c>
      <c r="B294" s="576" t="s">
        <v>184</v>
      </c>
      <c r="C294" s="581"/>
      <c r="D294" s="581">
        <v>0</v>
      </c>
      <c r="E294" s="562">
        <v>0.01</v>
      </c>
      <c r="F294" s="648"/>
      <c r="G294" s="581">
        <v>0</v>
      </c>
      <c r="I294" s="639" t="e">
        <f t="shared" si="25"/>
        <v>#DIV/0!</v>
      </c>
      <c r="J294" s="567"/>
      <c r="K294" s="568"/>
    </row>
    <row r="295" spans="1:11" x14ac:dyDescent="0.25">
      <c r="A295" s="590">
        <v>63204</v>
      </c>
      <c r="B295" s="576" t="s">
        <v>185</v>
      </c>
      <c r="C295" s="581">
        <v>30000</v>
      </c>
      <c r="D295" s="581">
        <v>25000</v>
      </c>
      <c r="E295" s="562">
        <v>30000</v>
      </c>
      <c r="F295" s="648"/>
      <c r="G295" s="581">
        <v>30000</v>
      </c>
      <c r="H295" s="648"/>
      <c r="I295" s="639">
        <f t="shared" si="25"/>
        <v>0</v>
      </c>
      <c r="J295" s="567"/>
      <c r="K295" s="568"/>
    </row>
    <row r="296" spans="1:11" x14ac:dyDescent="0.25">
      <c r="A296" s="590">
        <v>63205</v>
      </c>
      <c r="B296" s="576" t="s">
        <v>186</v>
      </c>
      <c r="C296" s="581">
        <v>50000</v>
      </c>
      <c r="D296" s="581">
        <v>70469</v>
      </c>
      <c r="E296" s="562">
        <v>50000</v>
      </c>
      <c r="F296" s="648"/>
      <c r="G296" s="581">
        <v>50000</v>
      </c>
      <c r="H296" s="648"/>
      <c r="I296" s="639">
        <f t="shared" si="25"/>
        <v>0</v>
      </c>
      <c r="J296" s="567"/>
      <c r="K296" s="568"/>
    </row>
    <row r="297" spans="1:11" x14ac:dyDescent="0.25">
      <c r="A297" s="590">
        <v>65500</v>
      </c>
      <c r="B297" s="576" t="s">
        <v>187</v>
      </c>
      <c r="C297" s="581"/>
      <c r="D297" s="581">
        <v>0</v>
      </c>
      <c r="E297" s="562">
        <v>0.01</v>
      </c>
      <c r="F297" s="648"/>
      <c r="G297" s="581">
        <v>0</v>
      </c>
      <c r="I297" s="639" t="e">
        <f t="shared" si="25"/>
        <v>#DIV/0!</v>
      </c>
      <c r="J297" s="567"/>
      <c r="K297" s="568"/>
    </row>
    <row r="298" spans="1:11" x14ac:dyDescent="0.25">
      <c r="A298" s="590">
        <v>68010</v>
      </c>
      <c r="B298" s="576" t="s">
        <v>166</v>
      </c>
      <c r="C298" s="581">
        <v>600</v>
      </c>
      <c r="D298" s="581">
        <v>600</v>
      </c>
      <c r="E298" s="562">
        <v>600</v>
      </c>
      <c r="F298" s="648"/>
      <c r="G298" s="581">
        <v>600</v>
      </c>
      <c r="I298" s="639">
        <f t="shared" si="25"/>
        <v>0</v>
      </c>
      <c r="J298" s="567"/>
      <c r="K298" s="568"/>
    </row>
    <row r="299" spans="1:11" x14ac:dyDescent="0.25">
      <c r="A299" s="560"/>
      <c r="B299" s="561" t="s">
        <v>116</v>
      </c>
      <c r="C299" s="563">
        <f>SUM(C290:C298)</f>
        <v>82150</v>
      </c>
      <c r="D299" s="563">
        <f t="shared" ref="D299:H299" si="26">SUM(D290:D298)</f>
        <v>96551.63</v>
      </c>
      <c r="E299" s="563">
        <f>SUM(E290:E298)</f>
        <v>81250.01999999999</v>
      </c>
      <c r="F299" s="683">
        <f t="shared" si="26"/>
        <v>0</v>
      </c>
      <c r="G299" s="563">
        <f>SUM(G290:G298)</f>
        <v>81250</v>
      </c>
      <c r="H299" s="563">
        <f t="shared" si="26"/>
        <v>0</v>
      </c>
      <c r="I299" s="639">
        <f t="shared" si="25"/>
        <v>0</v>
      </c>
      <c r="J299" s="567"/>
      <c r="K299" s="568"/>
    </row>
    <row r="300" spans="1:11" x14ac:dyDescent="0.25">
      <c r="A300" s="590"/>
      <c r="B300" s="576"/>
      <c r="C300" s="564"/>
      <c r="D300" s="576"/>
      <c r="E300" s="576"/>
      <c r="F300" s="564"/>
      <c r="G300" s="581"/>
      <c r="H300" s="581"/>
      <c r="I300" s="581"/>
      <c r="J300" s="567"/>
      <c r="K300" s="568"/>
    </row>
    <row r="301" spans="1:11" x14ac:dyDescent="0.25">
      <c r="A301" s="687" t="s">
        <v>189</v>
      </c>
      <c r="B301" s="628" t="s">
        <v>188</v>
      </c>
      <c r="C301" s="630">
        <v>2017</v>
      </c>
      <c r="D301" s="629" t="s">
        <v>1236</v>
      </c>
      <c r="E301" s="629">
        <v>2018</v>
      </c>
      <c r="F301" s="630" t="s">
        <v>1236</v>
      </c>
      <c r="G301" s="631" t="s">
        <v>4</v>
      </c>
      <c r="H301" s="631">
        <v>2019</v>
      </c>
      <c r="I301" s="627" t="s">
        <v>5</v>
      </c>
      <c r="J301" s="567"/>
      <c r="K301" s="568"/>
    </row>
    <row r="302" spans="1:11" x14ac:dyDescent="0.25">
      <c r="A302" s="560"/>
      <c r="B302" s="561"/>
      <c r="C302" s="630" t="s">
        <v>6</v>
      </c>
      <c r="D302" s="634">
        <v>43069</v>
      </c>
      <c r="E302" s="629" t="s">
        <v>6</v>
      </c>
      <c r="F302" s="634">
        <v>43131</v>
      </c>
      <c r="G302" s="635" t="s">
        <v>1131</v>
      </c>
      <c r="H302" s="635" t="s">
        <v>6</v>
      </c>
      <c r="I302" s="627" t="s">
        <v>92</v>
      </c>
      <c r="J302" s="567"/>
      <c r="K302" s="568"/>
    </row>
    <row r="303" spans="1:11" x14ac:dyDescent="0.25">
      <c r="A303" s="590"/>
      <c r="B303" s="576" t="s">
        <v>93</v>
      </c>
      <c r="C303" s="578"/>
      <c r="D303" s="593"/>
      <c r="E303" s="593"/>
      <c r="F303" s="564"/>
      <c r="G303" s="581"/>
      <c r="H303" s="581"/>
      <c r="I303" s="581"/>
      <c r="J303" s="567"/>
      <c r="K303" s="568"/>
    </row>
    <row r="304" spans="1:11" x14ac:dyDescent="0.25">
      <c r="A304" s="590">
        <v>40100</v>
      </c>
      <c r="B304" s="576" t="s">
        <v>96</v>
      </c>
      <c r="C304" s="581">
        <v>9900</v>
      </c>
      <c r="D304" s="581">
        <v>9075</v>
      </c>
      <c r="E304" s="901">
        <v>9900</v>
      </c>
      <c r="F304" s="648"/>
      <c r="G304" s="581">
        <v>9900</v>
      </c>
      <c r="H304" s="648"/>
      <c r="I304" s="639">
        <f t="shared" ref="I304:I317" si="27">F304/C304</f>
        <v>0</v>
      </c>
      <c r="J304" s="567"/>
      <c r="K304" s="568"/>
    </row>
    <row r="305" spans="1:11" x14ac:dyDescent="0.25">
      <c r="A305" s="590">
        <v>41420</v>
      </c>
      <c r="B305" s="576" t="s">
        <v>1270</v>
      </c>
      <c r="C305" s="581"/>
      <c r="D305" s="581"/>
      <c r="E305" s="901">
        <v>480</v>
      </c>
      <c r="F305" s="648"/>
      <c r="G305" s="581">
        <v>480</v>
      </c>
      <c r="H305" s="648"/>
      <c r="I305" s="639"/>
      <c r="J305" s="567"/>
      <c r="K305" s="568"/>
    </row>
    <row r="306" spans="1:11" x14ac:dyDescent="0.25">
      <c r="A306" s="590">
        <v>41440</v>
      </c>
      <c r="B306" s="576" t="s">
        <v>100</v>
      </c>
      <c r="C306" s="581">
        <v>614</v>
      </c>
      <c r="D306" s="581">
        <v>562.65</v>
      </c>
      <c r="E306" s="901">
        <f>9900*6.2%</f>
        <v>613.79999999999995</v>
      </c>
      <c r="F306" s="648"/>
      <c r="G306" s="901">
        <f>9900*6.2%</f>
        <v>613.79999999999995</v>
      </c>
      <c r="H306" s="581"/>
      <c r="I306" s="639">
        <f t="shared" si="27"/>
        <v>0</v>
      </c>
      <c r="J306" s="567"/>
      <c r="K306" s="568"/>
    </row>
    <row r="307" spans="1:11" x14ac:dyDescent="0.25">
      <c r="A307" s="590">
        <v>41450</v>
      </c>
      <c r="B307" s="576" t="s">
        <v>101</v>
      </c>
      <c r="C307" s="581">
        <v>144</v>
      </c>
      <c r="D307" s="581">
        <v>131.56</v>
      </c>
      <c r="E307" s="901">
        <f>9900*1.45%</f>
        <v>143.54999999999998</v>
      </c>
      <c r="F307" s="648"/>
      <c r="G307" s="901">
        <f>9900*1.45%</f>
        <v>143.54999999999998</v>
      </c>
      <c r="H307" s="581"/>
      <c r="I307" s="639">
        <f t="shared" si="27"/>
        <v>0</v>
      </c>
      <c r="J307" s="567"/>
      <c r="K307" s="568"/>
    </row>
    <row r="308" spans="1:11" x14ac:dyDescent="0.25">
      <c r="A308" s="590">
        <v>59500</v>
      </c>
      <c r="B308" s="576" t="s">
        <v>190</v>
      </c>
      <c r="C308" s="581">
        <v>100</v>
      </c>
      <c r="D308" s="581">
        <v>292.18</v>
      </c>
      <c r="E308" s="901">
        <v>400</v>
      </c>
      <c r="F308" s="648"/>
      <c r="G308" s="581">
        <v>400</v>
      </c>
      <c r="H308" s="648"/>
      <c r="I308" s="639">
        <f t="shared" si="27"/>
        <v>0</v>
      </c>
      <c r="J308" s="567"/>
      <c r="K308" s="568"/>
    </row>
    <row r="309" spans="1:11" x14ac:dyDescent="0.25">
      <c r="A309" s="590">
        <v>62500</v>
      </c>
      <c r="B309" s="576" t="s">
        <v>109</v>
      </c>
      <c r="C309" s="581">
        <v>400</v>
      </c>
      <c r="D309" s="581">
        <v>251.63</v>
      </c>
      <c r="E309" s="901">
        <v>400</v>
      </c>
      <c r="F309" s="648"/>
      <c r="G309" s="581">
        <v>400</v>
      </c>
      <c r="H309" s="648"/>
      <c r="I309" s="639">
        <f t="shared" si="27"/>
        <v>0</v>
      </c>
      <c r="J309" s="567"/>
      <c r="K309" s="568"/>
    </row>
    <row r="310" spans="1:11" x14ac:dyDescent="0.25">
      <c r="A310" s="590">
        <v>62510</v>
      </c>
      <c r="B310" s="576" t="s">
        <v>110</v>
      </c>
      <c r="C310" s="581">
        <v>100</v>
      </c>
      <c r="D310" s="581">
        <v>25.23</v>
      </c>
      <c r="E310" s="901">
        <v>100</v>
      </c>
      <c r="F310" s="648"/>
      <c r="G310" s="581">
        <v>100</v>
      </c>
      <c r="H310" s="648"/>
      <c r="I310" s="639">
        <f t="shared" si="27"/>
        <v>0</v>
      </c>
      <c r="J310" s="567"/>
      <c r="K310" s="568"/>
    </row>
    <row r="311" spans="1:11" x14ac:dyDescent="0.25">
      <c r="A311" s="590">
        <v>62530</v>
      </c>
      <c r="B311" s="576" t="s">
        <v>171</v>
      </c>
      <c r="C311" s="581">
        <v>1000</v>
      </c>
      <c r="D311" s="581">
        <v>801.59</v>
      </c>
      <c r="E311" s="901">
        <v>900</v>
      </c>
      <c r="F311" s="648"/>
      <c r="G311" s="581">
        <v>900</v>
      </c>
      <c r="H311" s="672"/>
      <c r="I311" s="639">
        <f t="shared" si="27"/>
        <v>0</v>
      </c>
      <c r="J311" s="567"/>
      <c r="K311" s="568"/>
    </row>
    <row r="312" spans="1:11" x14ac:dyDescent="0.25">
      <c r="A312" s="590">
        <v>62550</v>
      </c>
      <c r="B312" s="576" t="s">
        <v>191</v>
      </c>
      <c r="C312" s="581">
        <v>1200</v>
      </c>
      <c r="D312" s="581">
        <v>1443.48</v>
      </c>
      <c r="E312" s="901">
        <v>1750</v>
      </c>
      <c r="F312" s="648"/>
      <c r="G312" s="581">
        <v>1750</v>
      </c>
      <c r="H312" s="672"/>
      <c r="I312" s="639">
        <f t="shared" si="27"/>
        <v>0</v>
      </c>
      <c r="J312" s="567"/>
      <c r="K312" s="568"/>
    </row>
    <row r="313" spans="1:11" x14ac:dyDescent="0.25">
      <c r="A313" s="590">
        <v>63100</v>
      </c>
      <c r="B313" s="576" t="s">
        <v>192</v>
      </c>
      <c r="C313" s="581">
        <v>500</v>
      </c>
      <c r="D313" s="581">
        <v>0</v>
      </c>
      <c r="E313" s="901">
        <v>500</v>
      </c>
      <c r="F313" s="648"/>
      <c r="G313" s="581">
        <v>500</v>
      </c>
      <c r="H313" s="648"/>
      <c r="I313" s="639">
        <f t="shared" si="27"/>
        <v>0</v>
      </c>
      <c r="J313" s="567"/>
      <c r="K313" s="568"/>
    </row>
    <row r="314" spans="1:11" x14ac:dyDescent="0.25">
      <c r="A314" s="590">
        <v>63811</v>
      </c>
      <c r="B314" s="576" t="s">
        <v>193</v>
      </c>
      <c r="C314" s="581">
        <v>1000</v>
      </c>
      <c r="D314" s="581">
        <v>3415</v>
      </c>
      <c r="E314" s="901">
        <v>3000</v>
      </c>
      <c r="F314" s="648"/>
      <c r="G314" s="581">
        <v>3000</v>
      </c>
      <c r="H314" s="648"/>
      <c r="I314" s="639">
        <f t="shared" si="27"/>
        <v>0</v>
      </c>
      <c r="J314" s="567"/>
      <c r="K314" s="568"/>
    </row>
    <row r="315" spans="1:11" x14ac:dyDescent="0.25">
      <c r="A315" s="590">
        <v>63812</v>
      </c>
      <c r="B315" s="576" t="s">
        <v>194</v>
      </c>
      <c r="C315" s="581">
        <v>4000</v>
      </c>
      <c r="D315" s="581">
        <v>3900</v>
      </c>
      <c r="E315" s="901">
        <v>4000</v>
      </c>
      <c r="F315" s="648"/>
      <c r="G315" s="581">
        <v>4000</v>
      </c>
      <c r="H315" s="648"/>
      <c r="I315" s="639">
        <f t="shared" si="27"/>
        <v>0</v>
      </c>
      <c r="J315" s="567"/>
      <c r="K315" s="568"/>
    </row>
    <row r="316" spans="1:11" x14ac:dyDescent="0.25">
      <c r="A316" s="590">
        <v>68010</v>
      </c>
      <c r="B316" s="576" t="s">
        <v>195</v>
      </c>
      <c r="C316" s="581">
        <v>300</v>
      </c>
      <c r="D316" s="581">
        <v>390</v>
      </c>
      <c r="E316" s="901">
        <v>400</v>
      </c>
      <c r="F316" s="648"/>
      <c r="G316" s="581">
        <v>400</v>
      </c>
      <c r="H316" s="648"/>
      <c r="I316" s="639">
        <f t="shared" si="27"/>
        <v>0</v>
      </c>
      <c r="J316" s="567"/>
      <c r="K316" s="568"/>
    </row>
    <row r="317" spans="1:11" x14ac:dyDescent="0.25">
      <c r="A317" s="560"/>
      <c r="B317" s="561" t="s">
        <v>116</v>
      </c>
      <c r="C317" s="563">
        <f t="shared" ref="C317:H317" si="28">SUM(C304:C316)</f>
        <v>19258</v>
      </c>
      <c r="D317" s="563">
        <f t="shared" si="28"/>
        <v>20288.32</v>
      </c>
      <c r="E317" s="954">
        <f t="shared" si="28"/>
        <v>22587.35</v>
      </c>
      <c r="F317" s="683">
        <f t="shared" si="28"/>
        <v>0</v>
      </c>
      <c r="G317" s="563">
        <f t="shared" si="28"/>
        <v>22587.35</v>
      </c>
      <c r="H317" s="563">
        <f t="shared" si="28"/>
        <v>0</v>
      </c>
      <c r="I317" s="639">
        <f t="shared" si="27"/>
        <v>0</v>
      </c>
      <c r="J317" s="567"/>
      <c r="K317" s="568"/>
    </row>
    <row r="318" spans="1:11" s="569" customFormat="1" x14ac:dyDescent="0.25">
      <c r="A318" s="560"/>
      <c r="B318" s="561"/>
      <c r="C318" s="564"/>
      <c r="D318" s="576"/>
      <c r="E318" s="900"/>
      <c r="F318" s="564"/>
      <c r="G318" s="581"/>
      <c r="H318" s="581"/>
      <c r="I318" s="581"/>
      <c r="J318" s="567"/>
      <c r="K318" s="568"/>
    </row>
    <row r="319" spans="1:11" x14ac:dyDescent="0.25">
      <c r="A319" s="687" t="s">
        <v>197</v>
      </c>
      <c r="B319" s="628" t="s">
        <v>196</v>
      </c>
      <c r="C319" s="630">
        <v>2017</v>
      </c>
      <c r="D319" s="629" t="s">
        <v>1236</v>
      </c>
      <c r="E319" s="629">
        <v>2018</v>
      </c>
      <c r="F319" s="630" t="s">
        <v>1236</v>
      </c>
      <c r="G319" s="631" t="s">
        <v>4</v>
      </c>
      <c r="H319" s="631">
        <v>2019</v>
      </c>
      <c r="I319" s="627" t="s">
        <v>5</v>
      </c>
      <c r="J319" s="567"/>
      <c r="K319" s="568"/>
    </row>
    <row r="320" spans="1:11" x14ac:dyDescent="0.25">
      <c r="A320" s="560"/>
      <c r="B320" s="561"/>
      <c r="C320" s="630" t="s">
        <v>6</v>
      </c>
      <c r="D320" s="634">
        <v>43069</v>
      </c>
      <c r="E320" s="629" t="s">
        <v>6</v>
      </c>
      <c r="F320" s="634">
        <v>43131</v>
      </c>
      <c r="G320" s="635" t="s">
        <v>1131</v>
      </c>
      <c r="H320" s="635" t="s">
        <v>6</v>
      </c>
      <c r="I320" s="627" t="s">
        <v>92</v>
      </c>
      <c r="J320" s="567"/>
      <c r="K320" s="568"/>
    </row>
    <row r="321" spans="1:11" x14ac:dyDescent="0.25">
      <c r="A321" s="590"/>
      <c r="B321" s="576" t="s">
        <v>93</v>
      </c>
      <c r="C321" s="578"/>
      <c r="D321" s="593"/>
      <c r="E321" s="593"/>
      <c r="F321" s="564"/>
      <c r="G321" s="581"/>
      <c r="H321" s="581"/>
      <c r="I321" s="581"/>
      <c r="J321" s="567"/>
      <c r="K321" s="568"/>
    </row>
    <row r="322" spans="1:11" x14ac:dyDescent="0.25">
      <c r="A322" s="590">
        <v>54110</v>
      </c>
      <c r="B322" s="576" t="s">
        <v>198</v>
      </c>
      <c r="C322" s="581">
        <v>0</v>
      </c>
      <c r="D322" s="581">
        <v>147</v>
      </c>
      <c r="E322" s="562">
        <v>0</v>
      </c>
      <c r="F322" s="648"/>
      <c r="G322" s="581">
        <v>0</v>
      </c>
      <c r="I322" s="639" t="e">
        <f t="shared" ref="I322:I333" si="29">F322/C322</f>
        <v>#DIV/0!</v>
      </c>
      <c r="J322" s="567"/>
      <c r="K322" s="568"/>
    </row>
    <row r="323" spans="1:11" x14ac:dyDescent="0.25">
      <c r="A323" s="590">
        <v>60000</v>
      </c>
      <c r="B323" s="576" t="s">
        <v>199</v>
      </c>
      <c r="C323" s="581">
        <v>60</v>
      </c>
      <c r="D323" s="581">
        <v>13.2</v>
      </c>
      <c r="E323" s="562">
        <v>60</v>
      </c>
      <c r="F323" s="648"/>
      <c r="G323" s="581">
        <v>60</v>
      </c>
      <c r="I323" s="639">
        <f t="shared" si="29"/>
        <v>0</v>
      </c>
      <c r="J323" s="567"/>
      <c r="K323" s="568"/>
    </row>
    <row r="324" spans="1:11" x14ac:dyDescent="0.25">
      <c r="A324" s="590">
        <v>61200</v>
      </c>
      <c r="B324" s="576" t="s">
        <v>200</v>
      </c>
      <c r="C324" s="581">
        <v>0</v>
      </c>
      <c r="D324" s="581">
        <v>0</v>
      </c>
      <c r="E324" s="562">
        <v>0.01</v>
      </c>
      <c r="F324" s="648"/>
      <c r="G324" s="581">
        <v>0</v>
      </c>
      <c r="I324" s="639" t="e">
        <f t="shared" si="29"/>
        <v>#DIV/0!</v>
      </c>
      <c r="J324" s="567"/>
      <c r="K324" s="568"/>
    </row>
    <row r="325" spans="1:11" x14ac:dyDescent="0.25">
      <c r="A325" s="590">
        <v>62310</v>
      </c>
      <c r="B325" s="576" t="s">
        <v>108</v>
      </c>
      <c r="C325" s="581">
        <v>20</v>
      </c>
      <c r="D325" s="581">
        <v>13.79</v>
      </c>
      <c r="E325" s="562">
        <v>20</v>
      </c>
      <c r="F325" s="648"/>
      <c r="G325" s="581">
        <v>20</v>
      </c>
      <c r="I325" s="639">
        <f t="shared" si="29"/>
        <v>0</v>
      </c>
      <c r="J325" s="567"/>
      <c r="K325" s="568"/>
    </row>
    <row r="326" spans="1:11" x14ac:dyDescent="0.25">
      <c r="A326" s="590">
        <v>62500</v>
      </c>
      <c r="B326" s="576" t="s">
        <v>109</v>
      </c>
      <c r="C326" s="581">
        <v>100</v>
      </c>
      <c r="D326" s="581">
        <v>0</v>
      </c>
      <c r="E326" s="562">
        <v>50</v>
      </c>
      <c r="F326" s="648"/>
      <c r="G326" s="581">
        <v>50</v>
      </c>
      <c r="I326" s="639">
        <f t="shared" si="29"/>
        <v>0</v>
      </c>
      <c r="J326" s="567"/>
      <c r="K326" s="568"/>
    </row>
    <row r="327" spans="1:11" x14ac:dyDescent="0.25">
      <c r="A327" s="590">
        <v>62510</v>
      </c>
      <c r="B327" s="576" t="s">
        <v>110</v>
      </c>
      <c r="C327" s="581">
        <v>300</v>
      </c>
      <c r="D327" s="581">
        <v>0</v>
      </c>
      <c r="E327" s="562">
        <v>100</v>
      </c>
      <c r="F327" s="648"/>
      <c r="G327" s="581">
        <v>100</v>
      </c>
      <c r="I327" s="639">
        <f t="shared" si="29"/>
        <v>0</v>
      </c>
      <c r="J327" s="567"/>
      <c r="K327" s="568"/>
    </row>
    <row r="328" spans="1:11" x14ac:dyDescent="0.25">
      <c r="A328" s="590">
        <v>62530</v>
      </c>
      <c r="B328" s="576" t="s">
        <v>171</v>
      </c>
      <c r="C328" s="581">
        <v>0</v>
      </c>
      <c r="D328" s="581">
        <v>0</v>
      </c>
      <c r="E328" s="562">
        <v>0</v>
      </c>
      <c r="F328" s="648"/>
      <c r="G328" s="581">
        <v>0</v>
      </c>
      <c r="I328" s="639" t="e">
        <f t="shared" si="29"/>
        <v>#DIV/0!</v>
      </c>
      <c r="J328" s="567"/>
      <c r="K328" s="568"/>
    </row>
    <row r="329" spans="1:11" x14ac:dyDescent="0.25">
      <c r="A329" s="590">
        <v>62550</v>
      </c>
      <c r="B329" s="576" t="s">
        <v>201</v>
      </c>
      <c r="C329" s="581">
        <v>20</v>
      </c>
      <c r="D329" s="581">
        <v>53.94</v>
      </c>
      <c r="E329" s="562">
        <v>20</v>
      </c>
      <c r="F329" s="648"/>
      <c r="G329" s="581">
        <v>20</v>
      </c>
      <c r="I329" s="639">
        <f t="shared" si="29"/>
        <v>0</v>
      </c>
      <c r="J329" s="567"/>
      <c r="K329" s="568"/>
    </row>
    <row r="330" spans="1:11" x14ac:dyDescent="0.25">
      <c r="A330" s="590">
        <v>63100</v>
      </c>
      <c r="B330" s="576" t="s">
        <v>202</v>
      </c>
      <c r="C330" s="581">
        <v>0</v>
      </c>
      <c r="D330" s="581">
        <v>0</v>
      </c>
      <c r="E330" s="562">
        <v>0.01</v>
      </c>
      <c r="F330" s="648"/>
      <c r="G330" s="581">
        <v>0</v>
      </c>
      <c r="I330" s="639" t="e">
        <f t="shared" si="29"/>
        <v>#DIV/0!</v>
      </c>
      <c r="J330" s="567"/>
      <c r="K330" s="568"/>
    </row>
    <row r="331" spans="1:11" x14ac:dyDescent="0.25">
      <c r="A331" s="590">
        <v>68010</v>
      </c>
      <c r="B331" s="576" t="s">
        <v>166</v>
      </c>
      <c r="C331" s="581">
        <v>0</v>
      </c>
      <c r="D331" s="581">
        <v>0</v>
      </c>
      <c r="E331" s="562">
        <v>0.01</v>
      </c>
      <c r="F331" s="648"/>
      <c r="G331" s="581">
        <v>0</v>
      </c>
      <c r="I331" s="639" t="e">
        <f t="shared" si="29"/>
        <v>#DIV/0!</v>
      </c>
      <c r="J331" s="567"/>
      <c r="K331" s="568"/>
    </row>
    <row r="332" spans="1:11" x14ac:dyDescent="0.25">
      <c r="A332" s="590">
        <v>69999</v>
      </c>
      <c r="B332" s="576" t="s">
        <v>203</v>
      </c>
      <c r="C332" s="581">
        <v>0</v>
      </c>
      <c r="D332" s="581">
        <v>0</v>
      </c>
      <c r="E332" s="562">
        <v>0.01</v>
      </c>
      <c r="F332" s="648"/>
      <c r="G332" s="581">
        <v>0</v>
      </c>
      <c r="I332" s="639" t="e">
        <f t="shared" si="29"/>
        <v>#DIV/0!</v>
      </c>
      <c r="J332" s="567"/>
      <c r="K332" s="568"/>
    </row>
    <row r="333" spans="1:11" x14ac:dyDescent="0.25">
      <c r="A333" s="560"/>
      <c r="B333" s="561" t="s">
        <v>116</v>
      </c>
      <c r="C333" s="566">
        <f>SUM(C322:C332)</f>
        <v>500</v>
      </c>
      <c r="D333" s="566">
        <f t="shared" ref="D333:H333" si="30">SUM(D322:D332)</f>
        <v>227.92999999999998</v>
      </c>
      <c r="E333" s="566">
        <f>SUM(E322:E332)</f>
        <v>250.03999999999996</v>
      </c>
      <c r="F333" s="683">
        <f t="shared" si="30"/>
        <v>0</v>
      </c>
      <c r="G333" s="566">
        <f>SUM(G322:G332)</f>
        <v>250</v>
      </c>
      <c r="H333" s="566">
        <f t="shared" si="30"/>
        <v>0</v>
      </c>
      <c r="I333" s="639">
        <f t="shared" si="29"/>
        <v>0</v>
      </c>
      <c r="J333" s="567"/>
      <c r="K333" s="568"/>
    </row>
    <row r="334" spans="1:11" x14ac:dyDescent="0.25">
      <c r="A334" s="590"/>
      <c r="B334" s="576"/>
      <c r="C334" s="564"/>
      <c r="D334" s="576"/>
      <c r="E334" s="576"/>
      <c r="F334" s="564"/>
      <c r="G334" s="581"/>
      <c r="H334" s="581"/>
      <c r="I334" s="581"/>
      <c r="J334" s="567"/>
      <c r="K334" s="568"/>
    </row>
    <row r="335" spans="1:11" x14ac:dyDescent="0.25">
      <c r="A335" s="687" t="s">
        <v>205</v>
      </c>
      <c r="B335" s="628" t="s">
        <v>204</v>
      </c>
      <c r="C335" s="630">
        <v>2017</v>
      </c>
      <c r="D335" s="629" t="s">
        <v>1236</v>
      </c>
      <c r="E335" s="629">
        <v>2018</v>
      </c>
      <c r="F335" s="630" t="s">
        <v>1236</v>
      </c>
      <c r="G335" s="631" t="s">
        <v>4</v>
      </c>
      <c r="H335" s="631">
        <v>2019</v>
      </c>
      <c r="I335" s="627" t="s">
        <v>5</v>
      </c>
      <c r="J335" s="567"/>
      <c r="K335" s="568"/>
    </row>
    <row r="336" spans="1:11" x14ac:dyDescent="0.25">
      <c r="A336" s="560"/>
      <c r="B336" s="561"/>
      <c r="C336" s="630" t="s">
        <v>6</v>
      </c>
      <c r="D336" s="634">
        <v>43069</v>
      </c>
      <c r="E336" s="629" t="s">
        <v>6</v>
      </c>
      <c r="F336" s="634">
        <v>43131</v>
      </c>
      <c r="G336" s="635" t="s">
        <v>1131</v>
      </c>
      <c r="H336" s="635" t="s">
        <v>6</v>
      </c>
      <c r="I336" s="627" t="s">
        <v>92</v>
      </c>
      <c r="J336" s="567"/>
      <c r="K336" s="568"/>
    </row>
    <row r="337" spans="1:11" x14ac:dyDescent="0.25">
      <c r="A337" s="590"/>
      <c r="B337" s="576" t="s">
        <v>93</v>
      </c>
      <c r="C337" s="578"/>
      <c r="D337" s="593"/>
      <c r="E337" s="593"/>
      <c r="F337" s="564"/>
      <c r="G337" s="581"/>
      <c r="H337" s="581"/>
      <c r="I337" s="581"/>
      <c r="J337" s="567"/>
      <c r="K337" s="568"/>
    </row>
    <row r="338" spans="1:11" x14ac:dyDescent="0.25">
      <c r="A338" s="590">
        <v>40100</v>
      </c>
      <c r="B338" s="576" t="s">
        <v>1136</v>
      </c>
      <c r="C338" s="581">
        <v>102394</v>
      </c>
      <c r="D338" s="581">
        <v>55723.54</v>
      </c>
      <c r="E338" s="902">
        <v>57000</v>
      </c>
      <c r="F338" s="648"/>
      <c r="G338" s="581">
        <v>57000</v>
      </c>
      <c r="H338" s="648"/>
      <c r="I338" s="639">
        <f t="shared" ref="I338:I347" si="31">F338/C338</f>
        <v>0</v>
      </c>
      <c r="J338" s="567"/>
      <c r="K338" s="568"/>
    </row>
    <row r="339" spans="1:11" x14ac:dyDescent="0.25">
      <c r="A339" s="590">
        <v>40110</v>
      </c>
      <c r="B339" s="576" t="s">
        <v>1137</v>
      </c>
      <c r="C339" s="581">
        <v>35880</v>
      </c>
      <c r="D339" s="581">
        <f>52314.03+4296.99+1606.19+1905.09</f>
        <v>60122.299999999996</v>
      </c>
      <c r="E339" s="902">
        <v>75000</v>
      </c>
      <c r="F339" s="648"/>
      <c r="G339" s="581">
        <v>75000</v>
      </c>
      <c r="H339" s="648"/>
      <c r="I339" s="639">
        <f t="shared" si="31"/>
        <v>0</v>
      </c>
      <c r="J339" s="567"/>
      <c r="K339" s="568"/>
    </row>
    <row r="340" spans="1:11" x14ac:dyDescent="0.25">
      <c r="A340" s="590">
        <v>40210</v>
      </c>
      <c r="B340" s="576" t="s">
        <v>206</v>
      </c>
      <c r="C340" s="581">
        <v>200</v>
      </c>
      <c r="D340" s="581">
        <v>588.26</v>
      </c>
      <c r="E340" s="902">
        <v>0</v>
      </c>
      <c r="F340" s="648"/>
      <c r="G340" s="581">
        <v>0</v>
      </c>
      <c r="H340" s="648"/>
      <c r="I340" s="639">
        <f t="shared" si="31"/>
        <v>0</v>
      </c>
      <c r="J340" s="567"/>
      <c r="K340" s="568"/>
    </row>
    <row r="341" spans="1:11" x14ac:dyDescent="0.25">
      <c r="A341" s="590">
        <v>41410</v>
      </c>
      <c r="B341" s="576" t="s">
        <v>478</v>
      </c>
      <c r="C341" s="581">
        <v>946</v>
      </c>
      <c r="D341" s="581">
        <v>259.69</v>
      </c>
      <c r="E341" s="902">
        <v>396</v>
      </c>
      <c r="F341" s="648"/>
      <c r="G341" s="581">
        <v>396</v>
      </c>
      <c r="H341" s="648"/>
      <c r="I341" s="639">
        <f t="shared" si="31"/>
        <v>0</v>
      </c>
      <c r="J341" s="567"/>
      <c r="K341" s="568"/>
    </row>
    <row r="342" spans="1:11" x14ac:dyDescent="0.25">
      <c r="A342" s="590">
        <v>41420</v>
      </c>
      <c r="B342" s="576" t="s">
        <v>479</v>
      </c>
      <c r="C342" s="581">
        <v>4514</v>
      </c>
      <c r="D342" s="581">
        <v>4673</v>
      </c>
      <c r="E342" s="902">
        <v>310</v>
      </c>
      <c r="F342" s="648"/>
      <c r="G342" s="581">
        <v>310</v>
      </c>
      <c r="H342" s="648"/>
      <c r="I342" s="639">
        <f t="shared" si="31"/>
        <v>0</v>
      </c>
      <c r="J342" s="655"/>
      <c r="K342" s="568"/>
    </row>
    <row r="343" spans="1:11" x14ac:dyDescent="0.25">
      <c r="A343" s="590">
        <v>41430</v>
      </c>
      <c r="B343" s="576" t="s">
        <v>98</v>
      </c>
      <c r="C343" s="581">
        <v>12568</v>
      </c>
      <c r="D343" s="581">
        <v>21201.72</v>
      </c>
      <c r="E343" s="902">
        <v>24300</v>
      </c>
      <c r="F343" s="648"/>
      <c r="G343" s="581">
        <v>24300</v>
      </c>
      <c r="H343" s="648"/>
      <c r="I343" s="639">
        <f t="shared" si="31"/>
        <v>0</v>
      </c>
      <c r="J343" s="567"/>
      <c r="K343" s="568"/>
    </row>
    <row r="344" spans="1:11" x14ac:dyDescent="0.25">
      <c r="A344" s="590">
        <v>41435</v>
      </c>
      <c r="B344" s="576" t="s">
        <v>1291</v>
      </c>
      <c r="C344" s="581">
        <v>4937</v>
      </c>
      <c r="D344" s="581">
        <v>3703.05</v>
      </c>
      <c r="E344" s="902">
        <v>4937</v>
      </c>
      <c r="F344" s="648"/>
      <c r="G344" s="581">
        <v>4937</v>
      </c>
      <c r="H344" s="648"/>
      <c r="I344" s="639">
        <f t="shared" si="31"/>
        <v>0</v>
      </c>
      <c r="J344" s="567"/>
      <c r="K344" s="568"/>
    </row>
    <row r="345" spans="1:11" x14ac:dyDescent="0.25">
      <c r="A345" s="590">
        <v>41440</v>
      </c>
      <c r="B345" s="576" t="s">
        <v>100</v>
      </c>
      <c r="C345" s="581">
        <v>8585</v>
      </c>
      <c r="D345" s="581">
        <v>6447.61</v>
      </c>
      <c r="E345" s="902">
        <v>8185</v>
      </c>
      <c r="F345" s="648"/>
      <c r="G345" s="581">
        <v>8185</v>
      </c>
      <c r="H345" s="648"/>
      <c r="I345" s="639">
        <f t="shared" si="31"/>
        <v>0</v>
      </c>
      <c r="J345" s="567"/>
      <c r="K345" s="568"/>
    </row>
    <row r="346" spans="1:11" x14ac:dyDescent="0.25">
      <c r="A346" s="590">
        <v>41450</v>
      </c>
      <c r="B346" s="576" t="s">
        <v>101</v>
      </c>
      <c r="C346" s="581">
        <v>2008</v>
      </c>
      <c r="D346" s="581">
        <v>1507.91</v>
      </c>
      <c r="E346" s="902">
        <v>1915</v>
      </c>
      <c r="F346" s="648"/>
      <c r="G346" s="581">
        <v>1915</v>
      </c>
      <c r="H346" s="648"/>
      <c r="I346" s="639">
        <f t="shared" si="31"/>
        <v>0</v>
      </c>
      <c r="J346" s="655"/>
      <c r="K346" s="568"/>
    </row>
    <row r="347" spans="1:11" x14ac:dyDescent="0.25">
      <c r="A347" s="590">
        <v>41470</v>
      </c>
      <c r="B347" s="576" t="s">
        <v>102</v>
      </c>
      <c r="C347" s="581">
        <v>86</v>
      </c>
      <c r="D347" s="581">
        <v>76</v>
      </c>
      <c r="E347" s="902">
        <v>87</v>
      </c>
      <c r="F347" s="648"/>
      <c r="G347" s="581">
        <v>87</v>
      </c>
      <c r="H347" s="648"/>
      <c r="I347" s="639">
        <f t="shared" si="31"/>
        <v>0</v>
      </c>
      <c r="J347" s="567"/>
      <c r="K347" s="568"/>
    </row>
    <row r="348" spans="1:11" x14ac:dyDescent="0.25">
      <c r="A348" s="590">
        <v>41471</v>
      </c>
      <c r="B348" s="576" t="s">
        <v>1289</v>
      </c>
      <c r="C348" s="581"/>
      <c r="D348" s="581">
        <v>231</v>
      </c>
      <c r="E348" s="902">
        <v>0</v>
      </c>
      <c r="F348" s="648"/>
      <c r="G348" s="581"/>
      <c r="H348" s="648"/>
      <c r="I348" s="639"/>
      <c r="J348" s="567"/>
      <c r="K348" s="568"/>
    </row>
    <row r="349" spans="1:11" x14ac:dyDescent="0.25">
      <c r="A349" s="899">
        <v>50311</v>
      </c>
      <c r="B349" s="900" t="s">
        <v>285</v>
      </c>
      <c r="C349" s="581">
        <v>0</v>
      </c>
      <c r="D349" s="581">
        <v>0</v>
      </c>
      <c r="E349" s="902">
        <v>500</v>
      </c>
      <c r="F349" s="648"/>
      <c r="G349" s="581">
        <v>500</v>
      </c>
      <c r="H349" s="648"/>
      <c r="I349" s="639"/>
      <c r="J349" s="567"/>
      <c r="K349" s="568"/>
    </row>
    <row r="350" spans="1:11" x14ac:dyDescent="0.25">
      <c r="A350" s="899">
        <v>50312</v>
      </c>
      <c r="B350" s="900" t="s">
        <v>384</v>
      </c>
      <c r="C350" s="581">
        <v>0</v>
      </c>
      <c r="D350" s="581">
        <v>558.35</v>
      </c>
      <c r="E350" s="902">
        <v>500</v>
      </c>
      <c r="F350" s="648"/>
      <c r="G350" s="581">
        <v>500</v>
      </c>
      <c r="H350" s="648"/>
      <c r="I350" s="639"/>
      <c r="J350" s="567"/>
      <c r="K350" s="568"/>
    </row>
    <row r="351" spans="1:11" x14ac:dyDescent="0.25">
      <c r="A351" s="590">
        <v>54110</v>
      </c>
      <c r="B351" s="576" t="s">
        <v>103</v>
      </c>
      <c r="C351" s="581">
        <v>2500</v>
      </c>
      <c r="D351" s="581">
        <v>3525.33</v>
      </c>
      <c r="E351" s="902">
        <v>3000</v>
      </c>
      <c r="F351" s="648"/>
      <c r="G351" s="581">
        <v>3000</v>
      </c>
      <c r="H351" s="648"/>
      <c r="I351" s="639">
        <f t="shared" ref="I351:I369" si="32">F351/C351</f>
        <v>0</v>
      </c>
      <c r="J351" s="567"/>
      <c r="K351" s="689"/>
    </row>
    <row r="352" spans="1:11" x14ac:dyDescent="0.25">
      <c r="A352" s="590">
        <v>54120</v>
      </c>
      <c r="B352" s="576" t="s">
        <v>104</v>
      </c>
      <c r="C352" s="581">
        <v>2500</v>
      </c>
      <c r="D352" s="581">
        <v>2019.81</v>
      </c>
      <c r="E352" s="902">
        <v>2200</v>
      </c>
      <c r="F352" s="648"/>
      <c r="G352" s="581">
        <v>2200</v>
      </c>
      <c r="H352" s="648"/>
      <c r="I352" s="639">
        <f t="shared" si="32"/>
        <v>0</v>
      </c>
      <c r="J352" s="567"/>
      <c r="K352" s="568"/>
    </row>
    <row r="353" spans="1:11" x14ac:dyDescent="0.25">
      <c r="A353" s="590">
        <v>59850</v>
      </c>
      <c r="B353" s="576" t="s">
        <v>105</v>
      </c>
      <c r="C353" s="581">
        <v>0</v>
      </c>
      <c r="D353" s="581">
        <v>0</v>
      </c>
      <c r="E353" s="902">
        <v>0</v>
      </c>
      <c r="F353" s="648"/>
      <c r="G353" s="581">
        <v>0</v>
      </c>
      <c r="H353" s="648"/>
      <c r="I353" s="639" t="e">
        <f t="shared" si="32"/>
        <v>#DIV/0!</v>
      </c>
      <c r="J353" s="567"/>
      <c r="K353" s="568"/>
    </row>
    <row r="354" spans="1:11" x14ac:dyDescent="0.25">
      <c r="A354" s="590">
        <v>60000</v>
      </c>
      <c r="B354" s="576" t="s">
        <v>199</v>
      </c>
      <c r="C354" s="581">
        <v>3500</v>
      </c>
      <c r="D354" s="581">
        <v>3852.26</v>
      </c>
      <c r="E354" s="902">
        <v>2750</v>
      </c>
      <c r="F354" s="648"/>
      <c r="G354" s="581">
        <v>2750</v>
      </c>
      <c r="H354" s="648"/>
      <c r="I354" s="639">
        <f t="shared" si="32"/>
        <v>0</v>
      </c>
      <c r="J354" s="567"/>
      <c r="K354" s="568"/>
    </row>
    <row r="355" spans="1:11" x14ac:dyDescent="0.25">
      <c r="A355" s="590">
        <v>61200</v>
      </c>
      <c r="B355" s="576" t="s">
        <v>107</v>
      </c>
      <c r="C355" s="581">
        <v>2200</v>
      </c>
      <c r="D355" s="581">
        <v>2448.64</v>
      </c>
      <c r="E355" s="902">
        <v>2000</v>
      </c>
      <c r="F355" s="648"/>
      <c r="G355" s="581">
        <v>2000</v>
      </c>
      <c r="H355" s="648"/>
      <c r="I355" s="639">
        <f t="shared" si="32"/>
        <v>0</v>
      </c>
      <c r="J355" s="561"/>
      <c r="K355" s="568"/>
    </row>
    <row r="356" spans="1:11" x14ac:dyDescent="0.25">
      <c r="A356" s="590">
        <v>62310</v>
      </c>
      <c r="B356" s="576" t="s">
        <v>108</v>
      </c>
      <c r="C356" s="581">
        <v>1000</v>
      </c>
      <c r="D356" s="581">
        <v>1118.3699999999999</v>
      </c>
      <c r="E356" s="902">
        <v>1000</v>
      </c>
      <c r="F356" s="648"/>
      <c r="G356" s="581">
        <v>1000</v>
      </c>
      <c r="H356" s="648"/>
      <c r="I356" s="639">
        <f t="shared" si="32"/>
        <v>0</v>
      </c>
      <c r="J356" s="567"/>
      <c r="K356" s="568"/>
    </row>
    <row r="357" spans="1:11" x14ac:dyDescent="0.25">
      <c r="A357" s="590">
        <v>62500</v>
      </c>
      <c r="B357" s="576" t="s">
        <v>109</v>
      </c>
      <c r="C357" s="581">
        <v>1400</v>
      </c>
      <c r="D357" s="581">
        <v>1164.8900000000001</v>
      </c>
      <c r="E357" s="902">
        <v>1150</v>
      </c>
      <c r="F357" s="648"/>
      <c r="G357" s="581">
        <v>1150</v>
      </c>
      <c r="H357" s="648"/>
      <c r="I357" s="639">
        <f t="shared" si="32"/>
        <v>0</v>
      </c>
      <c r="J357" s="567"/>
      <c r="K357" s="568"/>
    </row>
    <row r="358" spans="1:11" x14ac:dyDescent="0.25">
      <c r="A358" s="590">
        <v>62510</v>
      </c>
      <c r="B358" s="576" t="s">
        <v>110</v>
      </c>
      <c r="C358" s="581">
        <v>500</v>
      </c>
      <c r="D358" s="581">
        <v>755.52</v>
      </c>
      <c r="E358" s="902">
        <v>500</v>
      </c>
      <c r="F358" s="648"/>
      <c r="G358" s="581">
        <v>500</v>
      </c>
      <c r="H358" s="648"/>
      <c r="I358" s="639">
        <f t="shared" si="32"/>
        <v>0</v>
      </c>
      <c r="J358" s="690"/>
      <c r="K358" s="691"/>
    </row>
    <row r="359" spans="1:11" x14ac:dyDescent="0.25">
      <c r="A359" s="590">
        <v>62530</v>
      </c>
      <c r="B359" s="576" t="s">
        <v>171</v>
      </c>
      <c r="C359" s="581">
        <v>800</v>
      </c>
      <c r="D359" s="581">
        <v>1621.91</v>
      </c>
      <c r="E359" s="902">
        <v>1200</v>
      </c>
      <c r="F359" s="648"/>
      <c r="G359" s="581">
        <v>1200</v>
      </c>
      <c r="H359" s="648"/>
      <c r="I359" s="639">
        <f t="shared" si="32"/>
        <v>0</v>
      </c>
      <c r="J359" s="692"/>
      <c r="K359" s="691"/>
    </row>
    <row r="360" spans="1:11" x14ac:dyDescent="0.25">
      <c r="A360" s="590">
        <v>62550</v>
      </c>
      <c r="B360" s="576" t="s">
        <v>184</v>
      </c>
      <c r="C360" s="581">
        <v>350</v>
      </c>
      <c r="D360" s="581">
        <v>389.79</v>
      </c>
      <c r="E360" s="902">
        <v>350</v>
      </c>
      <c r="F360" s="648"/>
      <c r="G360" s="581">
        <v>350</v>
      </c>
      <c r="H360" s="648"/>
      <c r="I360" s="639">
        <f t="shared" si="32"/>
        <v>0</v>
      </c>
      <c r="J360" s="567"/>
      <c r="K360" s="568"/>
    </row>
    <row r="361" spans="1:11" x14ac:dyDescent="0.25">
      <c r="A361" s="590">
        <v>63010</v>
      </c>
      <c r="B361" s="576" t="s">
        <v>207</v>
      </c>
      <c r="C361" s="581">
        <v>25000</v>
      </c>
      <c r="D361" s="581">
        <v>28000</v>
      </c>
      <c r="E361" s="902">
        <v>28000</v>
      </c>
      <c r="F361" s="648"/>
      <c r="G361" s="581">
        <v>28000</v>
      </c>
      <c r="H361" s="648"/>
      <c r="I361" s="639">
        <f t="shared" si="32"/>
        <v>0</v>
      </c>
      <c r="J361" s="567"/>
      <c r="K361" s="568"/>
    </row>
    <row r="362" spans="1:11" x14ac:dyDescent="0.25">
      <c r="A362" s="590">
        <v>63100</v>
      </c>
      <c r="B362" s="576" t="s">
        <v>208</v>
      </c>
      <c r="C362" s="581">
        <v>22000</v>
      </c>
      <c r="D362" s="581">
        <v>27237.75</v>
      </c>
      <c r="E362" s="902">
        <v>5000</v>
      </c>
      <c r="F362" s="648"/>
      <c r="G362" s="581">
        <v>5000</v>
      </c>
      <c r="H362" s="648"/>
      <c r="I362" s="639">
        <f t="shared" si="32"/>
        <v>0</v>
      </c>
      <c r="J362" s="567"/>
      <c r="K362" s="568"/>
    </row>
    <row r="363" spans="1:11" x14ac:dyDescent="0.25">
      <c r="A363" s="590">
        <v>63250</v>
      </c>
      <c r="B363" s="576" t="s">
        <v>209</v>
      </c>
      <c r="C363" s="581">
        <v>0</v>
      </c>
      <c r="D363" s="581">
        <v>1237.0899999999999</v>
      </c>
      <c r="E363" s="902">
        <v>500</v>
      </c>
      <c r="F363" s="648"/>
      <c r="G363" s="581">
        <v>500</v>
      </c>
      <c r="H363" s="648"/>
      <c r="I363" s="639" t="e">
        <f t="shared" si="32"/>
        <v>#DIV/0!</v>
      </c>
      <c r="J363" s="567"/>
      <c r="K363" s="568"/>
    </row>
    <row r="364" spans="1:11" x14ac:dyDescent="0.25">
      <c r="A364" s="590">
        <v>64410</v>
      </c>
      <c r="B364" s="576" t="s">
        <v>1172</v>
      </c>
      <c r="C364" s="581">
        <v>3000</v>
      </c>
      <c r="D364" s="581">
        <v>578.5</v>
      </c>
      <c r="E364" s="902">
        <v>3000</v>
      </c>
      <c r="F364" s="648"/>
      <c r="G364" s="581">
        <v>3000</v>
      </c>
      <c r="H364" s="648"/>
      <c r="I364" s="639">
        <f t="shared" si="32"/>
        <v>0</v>
      </c>
      <c r="J364" s="567"/>
      <c r="K364" s="568"/>
    </row>
    <row r="365" spans="1:11" x14ac:dyDescent="0.25">
      <c r="A365" s="590">
        <v>64474</v>
      </c>
      <c r="B365" s="576" t="s">
        <v>210</v>
      </c>
      <c r="C365" s="581">
        <v>9052</v>
      </c>
      <c r="D365" s="581">
        <v>7693.14</v>
      </c>
      <c r="E365" s="902">
        <v>7700</v>
      </c>
      <c r="F365" s="648"/>
      <c r="G365" s="581">
        <v>7700</v>
      </c>
      <c r="H365" s="648"/>
      <c r="I365" s="639">
        <f t="shared" si="32"/>
        <v>0</v>
      </c>
      <c r="J365" s="567"/>
      <c r="K365" s="568"/>
    </row>
    <row r="366" spans="1:11" x14ac:dyDescent="0.25">
      <c r="A366" s="590">
        <v>64479</v>
      </c>
      <c r="B366" s="576" t="s">
        <v>211</v>
      </c>
      <c r="C366" s="581">
        <v>1020</v>
      </c>
      <c r="D366" s="581">
        <v>1661</v>
      </c>
      <c r="E366" s="902">
        <v>1600</v>
      </c>
      <c r="F366" s="648"/>
      <c r="G366" s="581">
        <v>1600</v>
      </c>
      <c r="H366" s="648"/>
      <c r="I366" s="639">
        <f t="shared" si="32"/>
        <v>0</v>
      </c>
      <c r="J366" s="567"/>
      <c r="K366" s="568"/>
    </row>
    <row r="367" spans="1:11" x14ac:dyDescent="0.25">
      <c r="A367" s="590">
        <v>65500</v>
      </c>
      <c r="B367" s="576" t="s">
        <v>212</v>
      </c>
      <c r="C367" s="581">
        <v>6600</v>
      </c>
      <c r="D367" s="581">
        <v>4961.45</v>
      </c>
      <c r="E367" s="902">
        <v>5000</v>
      </c>
      <c r="F367" s="648"/>
      <c r="G367" s="581">
        <v>5000</v>
      </c>
      <c r="H367" s="648"/>
      <c r="I367" s="639">
        <f t="shared" si="32"/>
        <v>0</v>
      </c>
      <c r="J367" s="567"/>
      <c r="K367" s="568"/>
    </row>
    <row r="368" spans="1:11" x14ac:dyDescent="0.25">
      <c r="A368" s="590">
        <v>68000</v>
      </c>
      <c r="B368" s="576" t="s">
        <v>165</v>
      </c>
      <c r="C368" s="581">
        <v>200</v>
      </c>
      <c r="D368" s="581">
        <v>190</v>
      </c>
      <c r="E368" s="902">
        <v>200</v>
      </c>
      <c r="F368" s="648"/>
      <c r="G368" s="581">
        <v>200</v>
      </c>
      <c r="H368" s="648"/>
      <c r="I368" s="639">
        <f t="shared" si="32"/>
        <v>0</v>
      </c>
      <c r="J368" s="567"/>
      <c r="K368" s="568"/>
    </row>
    <row r="369" spans="1:11" x14ac:dyDescent="0.25">
      <c r="A369" s="590">
        <v>68010</v>
      </c>
      <c r="B369" s="576" t="s">
        <v>195</v>
      </c>
      <c r="C369" s="581">
        <v>8643</v>
      </c>
      <c r="D369" s="581">
        <v>13811</v>
      </c>
      <c r="E369" s="902">
        <v>13820</v>
      </c>
      <c r="F369" s="648"/>
      <c r="G369" s="581">
        <v>13820</v>
      </c>
      <c r="H369" s="648"/>
      <c r="I369" s="639">
        <f t="shared" si="32"/>
        <v>0</v>
      </c>
      <c r="J369" s="567"/>
      <c r="K369" s="568"/>
    </row>
    <row r="370" spans="1:11" x14ac:dyDescent="0.25">
      <c r="A370" s="590">
        <v>68010</v>
      </c>
      <c r="B370" s="561" t="s">
        <v>1205</v>
      </c>
      <c r="C370" s="581"/>
      <c r="D370" s="581"/>
      <c r="E370" s="901"/>
      <c r="F370" s="648"/>
      <c r="G370" s="581"/>
      <c r="H370" s="648"/>
      <c r="I370" s="581"/>
      <c r="J370" s="567"/>
      <c r="K370" s="568"/>
    </row>
    <row r="371" spans="1:11" x14ac:dyDescent="0.25">
      <c r="A371" s="590">
        <v>68010</v>
      </c>
      <c r="B371" s="561" t="s">
        <v>1204</v>
      </c>
      <c r="C371" s="581"/>
      <c r="D371" s="581"/>
      <c r="E371" s="901"/>
      <c r="F371" s="648"/>
      <c r="G371" s="581"/>
      <c r="H371" s="648"/>
      <c r="I371" s="581"/>
      <c r="J371" s="567"/>
      <c r="K371" s="568"/>
    </row>
    <row r="372" spans="1:11" x14ac:dyDescent="0.25">
      <c r="A372" s="590">
        <v>68010</v>
      </c>
      <c r="B372" s="561" t="s">
        <v>213</v>
      </c>
      <c r="C372" s="581"/>
      <c r="D372" s="581"/>
      <c r="E372" s="901"/>
      <c r="F372" s="648"/>
      <c r="G372" s="581"/>
      <c r="H372" s="648"/>
      <c r="I372" s="581"/>
      <c r="J372" s="567"/>
      <c r="K372" s="568"/>
    </row>
    <row r="373" spans="1:11" x14ac:dyDescent="0.25">
      <c r="A373" s="590">
        <v>68010</v>
      </c>
      <c r="B373" s="561" t="s">
        <v>1207</v>
      </c>
      <c r="C373" s="581"/>
      <c r="D373" s="581"/>
      <c r="E373" s="901"/>
      <c r="F373" s="648"/>
      <c r="G373" s="581"/>
      <c r="H373" s="648"/>
      <c r="I373" s="581"/>
      <c r="J373" s="567"/>
      <c r="K373" s="568"/>
    </row>
    <row r="374" spans="1:11" x14ac:dyDescent="0.25">
      <c r="A374" s="590">
        <v>68010</v>
      </c>
      <c r="B374" s="561" t="s">
        <v>1206</v>
      </c>
      <c r="C374" s="581"/>
      <c r="D374" s="581"/>
      <c r="E374" s="901"/>
      <c r="F374" s="648"/>
      <c r="G374" s="581"/>
      <c r="H374" s="648"/>
      <c r="I374" s="581"/>
      <c r="J374" s="567"/>
      <c r="K374" s="568"/>
    </row>
    <row r="375" spans="1:11" x14ac:dyDescent="0.25">
      <c r="A375" s="590">
        <v>68010</v>
      </c>
      <c r="B375" s="561" t="s">
        <v>214</v>
      </c>
      <c r="C375" s="581"/>
      <c r="D375" s="581"/>
      <c r="E375" s="901"/>
      <c r="F375" s="648"/>
      <c r="G375" s="581"/>
      <c r="H375" s="648"/>
      <c r="I375" s="581"/>
      <c r="J375" s="567"/>
      <c r="K375" s="568"/>
    </row>
    <row r="376" spans="1:11" x14ac:dyDescent="0.25">
      <c r="A376" s="590">
        <v>68010</v>
      </c>
      <c r="B376" s="561" t="s">
        <v>1262</v>
      </c>
      <c r="C376" s="581"/>
      <c r="D376" s="581"/>
      <c r="E376" s="901"/>
      <c r="F376" s="648"/>
      <c r="G376" s="581"/>
      <c r="H376" s="648"/>
      <c r="I376" s="581"/>
      <c r="J376" s="567"/>
      <c r="K376" s="568"/>
    </row>
    <row r="377" spans="1:11" x14ac:dyDescent="0.25">
      <c r="A377" s="590"/>
      <c r="B377" s="561" t="s">
        <v>1261</v>
      </c>
      <c r="C377" s="581"/>
      <c r="D377" s="581"/>
      <c r="E377" s="901"/>
      <c r="F377" s="648"/>
      <c r="G377" s="581"/>
      <c r="H377" s="648"/>
      <c r="I377" s="581"/>
      <c r="J377" s="567"/>
      <c r="K377" s="568"/>
    </row>
    <row r="378" spans="1:11" x14ac:dyDescent="0.25">
      <c r="A378" s="590">
        <v>69090</v>
      </c>
      <c r="B378" s="576" t="s">
        <v>215</v>
      </c>
      <c r="C378" s="581">
        <v>2800</v>
      </c>
      <c r="D378" s="581">
        <v>3756.56</v>
      </c>
      <c r="E378" s="902">
        <v>3000</v>
      </c>
      <c r="F378" s="648"/>
      <c r="G378" s="581">
        <v>3000</v>
      </c>
      <c r="H378" s="648"/>
      <c r="I378" s="639">
        <f>F378/C378</f>
        <v>0</v>
      </c>
      <c r="J378" s="567"/>
      <c r="K378" s="568"/>
    </row>
    <row r="379" spans="1:11" x14ac:dyDescent="0.25">
      <c r="A379" s="590">
        <v>69999</v>
      </c>
      <c r="B379" s="576" t="s">
        <v>216</v>
      </c>
      <c r="C379" s="581">
        <v>0</v>
      </c>
      <c r="D379" s="581">
        <v>0</v>
      </c>
      <c r="E379" s="902">
        <v>0</v>
      </c>
      <c r="F379" s="683"/>
      <c r="G379" s="581">
        <v>0</v>
      </c>
      <c r="H379" s="648"/>
      <c r="I379" s="639" t="e">
        <f>F379/C379</f>
        <v>#DIV/0!</v>
      </c>
      <c r="J379" s="567"/>
      <c r="K379" s="568"/>
    </row>
    <row r="380" spans="1:11" x14ac:dyDescent="0.25">
      <c r="A380" s="560"/>
      <c r="B380" s="561" t="s">
        <v>116</v>
      </c>
      <c r="C380" s="566">
        <f>SUM(C338:C379)</f>
        <v>265183</v>
      </c>
      <c r="D380" s="566">
        <f t="shared" ref="D380:H380" si="33">SUM(D338:D379)</f>
        <v>261115.44000000003</v>
      </c>
      <c r="E380" s="566">
        <f>SUM(E338:E379)</f>
        <v>255100</v>
      </c>
      <c r="F380" s="683">
        <f t="shared" si="33"/>
        <v>0</v>
      </c>
      <c r="G380" s="566">
        <f>SUM(G338:G379)</f>
        <v>255100</v>
      </c>
      <c r="H380" s="566">
        <f t="shared" si="33"/>
        <v>0</v>
      </c>
      <c r="I380" s="639">
        <f>F380/C380</f>
        <v>0</v>
      </c>
      <c r="J380" s="693"/>
      <c r="K380" s="568"/>
    </row>
    <row r="381" spans="1:11" s="569" customFormat="1" x14ac:dyDescent="0.25">
      <c r="A381" s="560"/>
      <c r="B381" s="561"/>
      <c r="C381" s="564"/>
      <c r="D381" s="576"/>
      <c r="E381" s="576"/>
      <c r="F381" s="564"/>
      <c r="G381" s="581"/>
      <c r="H381" s="581"/>
      <c r="I381" s="581"/>
      <c r="J381" s="567"/>
      <c r="K381" s="568"/>
    </row>
    <row r="382" spans="1:11" x14ac:dyDescent="0.25">
      <c r="A382" s="687" t="s">
        <v>218</v>
      </c>
      <c r="B382" s="628" t="s">
        <v>217</v>
      </c>
      <c r="C382" s="630">
        <v>2017</v>
      </c>
      <c r="D382" s="629" t="s">
        <v>1236</v>
      </c>
      <c r="E382" s="629">
        <v>2018</v>
      </c>
      <c r="F382" s="630" t="s">
        <v>1236</v>
      </c>
      <c r="G382" s="631" t="s">
        <v>4</v>
      </c>
      <c r="H382" s="631">
        <v>2019</v>
      </c>
      <c r="I382" s="627" t="s">
        <v>5</v>
      </c>
      <c r="J382" s="567"/>
      <c r="K382" s="568"/>
    </row>
    <row r="383" spans="1:11" x14ac:dyDescent="0.25">
      <c r="A383" s="560"/>
      <c r="B383" s="561"/>
      <c r="C383" s="630" t="s">
        <v>6</v>
      </c>
      <c r="D383" s="634">
        <v>43069</v>
      </c>
      <c r="E383" s="629" t="s">
        <v>6</v>
      </c>
      <c r="F383" s="634">
        <v>43131</v>
      </c>
      <c r="G383" s="635" t="s">
        <v>1131</v>
      </c>
      <c r="H383" s="635" t="s">
        <v>6</v>
      </c>
      <c r="I383" s="627" t="s">
        <v>92</v>
      </c>
      <c r="J383" s="567"/>
      <c r="K383" s="568"/>
    </row>
    <row r="384" spans="1:11" x14ac:dyDescent="0.25">
      <c r="A384" s="590"/>
      <c r="B384" s="576" t="s">
        <v>93</v>
      </c>
      <c r="C384" s="578"/>
      <c r="D384" s="593"/>
      <c r="E384" s="593"/>
      <c r="F384" s="564"/>
      <c r="G384" s="581"/>
      <c r="H384" s="581"/>
      <c r="I384" s="581"/>
      <c r="J384" s="666"/>
      <c r="K384" s="568"/>
    </row>
    <row r="385" spans="1:11" x14ac:dyDescent="0.25">
      <c r="A385" s="590">
        <v>40100</v>
      </c>
      <c r="B385" s="576" t="s">
        <v>96</v>
      </c>
      <c r="C385" s="581">
        <v>148920</v>
      </c>
      <c r="D385" s="581">
        <v>136510</v>
      </c>
      <c r="E385" s="901">
        <v>148920</v>
      </c>
      <c r="F385" s="648"/>
      <c r="G385" s="581">
        <v>148920</v>
      </c>
      <c r="H385" s="648"/>
      <c r="I385" s="639">
        <f t="shared" ref="I385:I400" si="34">F385/C385</f>
        <v>0</v>
      </c>
      <c r="J385" s="666"/>
      <c r="K385" s="568"/>
    </row>
    <row r="386" spans="1:11" x14ac:dyDescent="0.25">
      <c r="A386" s="590">
        <v>41420</v>
      </c>
      <c r="B386" s="576" t="s">
        <v>1270</v>
      </c>
      <c r="C386" s="581"/>
      <c r="D386" s="581"/>
      <c r="E386" s="901">
        <v>358</v>
      </c>
      <c r="F386" s="648"/>
      <c r="G386" s="581">
        <v>358</v>
      </c>
      <c r="H386" s="648"/>
      <c r="I386" s="639"/>
      <c r="J386" s="666"/>
      <c r="K386" s="568"/>
    </row>
    <row r="387" spans="1:11" x14ac:dyDescent="0.25">
      <c r="A387" s="590">
        <v>41430</v>
      </c>
      <c r="B387" s="576" t="s">
        <v>98</v>
      </c>
      <c r="C387" s="581">
        <v>20554</v>
      </c>
      <c r="D387" s="581">
        <v>18833.099999999999</v>
      </c>
      <c r="E387" s="901">
        <v>21200</v>
      </c>
      <c r="F387" s="648"/>
      <c r="G387" s="581">
        <v>21200</v>
      </c>
      <c r="H387" s="648"/>
      <c r="I387" s="639">
        <f t="shared" si="34"/>
        <v>0</v>
      </c>
      <c r="J387" s="666"/>
      <c r="K387" s="568"/>
    </row>
    <row r="388" spans="1:11" x14ac:dyDescent="0.25">
      <c r="A388" s="590">
        <v>41435</v>
      </c>
      <c r="B388" s="576" t="s">
        <v>121</v>
      </c>
      <c r="C388" s="581">
        <v>4937</v>
      </c>
      <c r="D388" s="581">
        <v>4525.95</v>
      </c>
      <c r="E388" s="901">
        <v>4937</v>
      </c>
      <c r="F388" s="648"/>
      <c r="G388" s="581">
        <v>4937</v>
      </c>
      <c r="H388" s="648"/>
      <c r="I388" s="639">
        <f t="shared" si="34"/>
        <v>0</v>
      </c>
      <c r="J388" s="567"/>
      <c r="K388" s="568"/>
    </row>
    <row r="389" spans="1:11" x14ac:dyDescent="0.25">
      <c r="A389" s="590">
        <v>41440</v>
      </c>
      <c r="B389" s="576" t="s">
        <v>100</v>
      </c>
      <c r="C389" s="581">
        <v>9233</v>
      </c>
      <c r="D389" s="581">
        <v>8046.17</v>
      </c>
      <c r="E389" s="901">
        <f>148920*6.2%</f>
        <v>9233.0399999999991</v>
      </c>
      <c r="F389" s="648"/>
      <c r="G389" s="581">
        <v>9233</v>
      </c>
      <c r="H389" s="648"/>
      <c r="I389" s="639">
        <f t="shared" si="34"/>
        <v>0</v>
      </c>
      <c r="J389" s="567"/>
      <c r="K389" s="568"/>
    </row>
    <row r="390" spans="1:11" x14ac:dyDescent="0.25">
      <c r="A390" s="590">
        <v>41450</v>
      </c>
      <c r="B390" s="576" t="s">
        <v>101</v>
      </c>
      <c r="C390" s="581">
        <v>2159</v>
      </c>
      <c r="D390" s="581">
        <v>1881.88</v>
      </c>
      <c r="E390" s="901">
        <v>2160</v>
      </c>
      <c r="F390" s="648"/>
      <c r="G390" s="581">
        <v>2160</v>
      </c>
      <c r="H390" s="648"/>
      <c r="I390" s="639">
        <f t="shared" si="34"/>
        <v>0</v>
      </c>
      <c r="J390" s="567"/>
      <c r="K390" s="568"/>
    </row>
    <row r="391" spans="1:11" x14ac:dyDescent="0.25">
      <c r="A391" s="590">
        <v>41470</v>
      </c>
      <c r="B391" s="576" t="s">
        <v>102</v>
      </c>
      <c r="C391" s="581">
        <v>86</v>
      </c>
      <c r="D391" s="581">
        <v>79.2</v>
      </c>
      <c r="E391" s="901">
        <v>87</v>
      </c>
      <c r="F391" s="648"/>
      <c r="G391" s="581">
        <v>87</v>
      </c>
      <c r="H391" s="648"/>
      <c r="I391" s="639">
        <f t="shared" si="34"/>
        <v>0</v>
      </c>
      <c r="J391" s="567"/>
      <c r="K391" s="568"/>
    </row>
    <row r="392" spans="1:11" x14ac:dyDescent="0.25">
      <c r="A392" s="590">
        <v>54117</v>
      </c>
      <c r="B392" s="576" t="s">
        <v>219</v>
      </c>
      <c r="C392" s="581">
        <v>800</v>
      </c>
      <c r="D392" s="581">
        <v>346.25</v>
      </c>
      <c r="E392" s="902">
        <v>500</v>
      </c>
      <c r="F392" s="648"/>
      <c r="G392" s="581">
        <v>500</v>
      </c>
      <c r="H392" s="648"/>
      <c r="I392" s="639">
        <f t="shared" si="34"/>
        <v>0</v>
      </c>
      <c r="J392" s="567"/>
      <c r="K392" s="568"/>
    </row>
    <row r="393" spans="1:11" x14ac:dyDescent="0.25">
      <c r="A393" s="590">
        <v>59850</v>
      </c>
      <c r="B393" s="576" t="s">
        <v>220</v>
      </c>
      <c r="C393" s="581">
        <v>0</v>
      </c>
      <c r="D393" s="581">
        <v>0</v>
      </c>
      <c r="E393" s="902">
        <v>0.01</v>
      </c>
      <c r="F393" s="648"/>
      <c r="G393" s="581">
        <v>0</v>
      </c>
      <c r="H393" s="648"/>
      <c r="I393" s="639" t="e">
        <f t="shared" si="34"/>
        <v>#DIV/0!</v>
      </c>
      <c r="J393" s="567"/>
      <c r="K393" s="568"/>
    </row>
    <row r="394" spans="1:11" x14ac:dyDescent="0.25">
      <c r="A394" s="590">
        <v>62500</v>
      </c>
      <c r="B394" s="576" t="s">
        <v>109</v>
      </c>
      <c r="C394" s="581">
        <v>1500</v>
      </c>
      <c r="D394" s="581">
        <v>129.38999999999999</v>
      </c>
      <c r="E394" s="902">
        <v>250</v>
      </c>
      <c r="F394" s="648"/>
      <c r="G394" s="581">
        <v>250</v>
      </c>
      <c r="H394" s="648"/>
      <c r="I394" s="639">
        <f t="shared" si="34"/>
        <v>0</v>
      </c>
      <c r="J394" s="567"/>
      <c r="K394" s="568"/>
    </row>
    <row r="395" spans="1:11" x14ac:dyDescent="0.25">
      <c r="A395" s="590">
        <v>62510</v>
      </c>
      <c r="B395" s="576" t="s">
        <v>110</v>
      </c>
      <c r="C395" s="581">
        <v>1600</v>
      </c>
      <c r="D395" s="581">
        <v>1536.45</v>
      </c>
      <c r="E395" s="902">
        <v>1200</v>
      </c>
      <c r="F395" s="648"/>
      <c r="G395" s="581">
        <v>1200</v>
      </c>
      <c r="H395" s="648"/>
      <c r="I395" s="639">
        <f t="shared" si="34"/>
        <v>0</v>
      </c>
      <c r="J395" s="567"/>
      <c r="K395" s="568"/>
    </row>
    <row r="396" spans="1:11" x14ac:dyDescent="0.25">
      <c r="A396" s="590">
        <v>62530</v>
      </c>
      <c r="B396" s="576" t="s">
        <v>171</v>
      </c>
      <c r="C396" s="581">
        <v>800</v>
      </c>
      <c r="D396" s="581">
        <v>415.78</v>
      </c>
      <c r="E396" s="902">
        <v>800</v>
      </c>
      <c r="F396" s="648"/>
      <c r="G396" s="581">
        <v>800</v>
      </c>
      <c r="H396" s="648"/>
      <c r="I396" s="639">
        <f t="shared" si="34"/>
        <v>0</v>
      </c>
      <c r="J396" s="567"/>
      <c r="K396" s="568"/>
    </row>
    <row r="397" spans="1:11" x14ac:dyDescent="0.25">
      <c r="A397" s="590">
        <v>62550</v>
      </c>
      <c r="B397" s="576" t="s">
        <v>184</v>
      </c>
      <c r="C397" s="581">
        <v>1500</v>
      </c>
      <c r="D397" s="581">
        <v>4534.03</v>
      </c>
      <c r="E397" s="902">
        <v>4350</v>
      </c>
      <c r="F397" s="648"/>
      <c r="G397" s="581">
        <v>4350</v>
      </c>
      <c r="H397" s="648"/>
      <c r="I397" s="639">
        <f t="shared" si="34"/>
        <v>0</v>
      </c>
      <c r="J397" s="567"/>
      <c r="K397" s="568"/>
    </row>
    <row r="398" spans="1:11" x14ac:dyDescent="0.25">
      <c r="A398" s="590">
        <v>63000</v>
      </c>
      <c r="B398" s="576" t="s">
        <v>1211</v>
      </c>
      <c r="C398" s="581"/>
      <c r="D398" s="581">
        <v>544.84</v>
      </c>
      <c r="E398" s="902">
        <v>500</v>
      </c>
      <c r="F398" s="648"/>
      <c r="G398" s="581">
        <v>500</v>
      </c>
      <c r="H398" s="648"/>
      <c r="I398" s="639" t="e">
        <f t="shared" si="34"/>
        <v>#DIV/0!</v>
      </c>
      <c r="J398" s="567"/>
      <c r="K398" s="568"/>
    </row>
    <row r="399" spans="1:11" x14ac:dyDescent="0.25">
      <c r="A399" s="590">
        <v>68010</v>
      </c>
      <c r="B399" s="576" t="s">
        <v>166</v>
      </c>
      <c r="C399" s="581"/>
      <c r="D399" s="581">
        <v>0</v>
      </c>
      <c r="E399" s="902">
        <v>0.01</v>
      </c>
      <c r="F399" s="648"/>
      <c r="G399" s="581">
        <v>0</v>
      </c>
      <c r="H399" s="648"/>
      <c r="I399" s="639" t="e">
        <f t="shared" si="34"/>
        <v>#DIV/0!</v>
      </c>
      <c r="J399" s="567"/>
      <c r="K399" s="568"/>
    </row>
    <row r="400" spans="1:11" x14ac:dyDescent="0.25">
      <c r="A400" s="560"/>
      <c r="B400" s="561" t="s">
        <v>116</v>
      </c>
      <c r="C400" s="566">
        <f>SUM(C385:C399)</f>
        <v>192089</v>
      </c>
      <c r="D400" s="566">
        <f t="shared" ref="D400:H400" si="35">SUM(D385:D399)</f>
        <v>177383.04000000007</v>
      </c>
      <c r="E400" s="956">
        <f>SUM(E385:E399)</f>
        <v>194495.06000000003</v>
      </c>
      <c r="F400" s="683">
        <f t="shared" si="35"/>
        <v>0</v>
      </c>
      <c r="G400" s="566">
        <f>SUM(G385:G399)</f>
        <v>194495</v>
      </c>
      <c r="H400" s="566">
        <f t="shared" si="35"/>
        <v>0</v>
      </c>
      <c r="I400" s="639">
        <f t="shared" si="34"/>
        <v>0</v>
      </c>
      <c r="J400" s="567"/>
      <c r="K400" s="568"/>
    </row>
    <row r="401" spans="1:11" s="569" customFormat="1" x14ac:dyDescent="0.25">
      <c r="A401" s="612"/>
      <c r="B401" s="576"/>
      <c r="C401" s="564"/>
      <c r="D401" s="576"/>
      <c r="E401" s="576"/>
      <c r="F401" s="564"/>
      <c r="G401" s="581"/>
      <c r="H401" s="581"/>
      <c r="I401" s="581"/>
      <c r="J401" s="567"/>
      <c r="K401" s="568"/>
    </row>
    <row r="402" spans="1:11" x14ac:dyDescent="0.25">
      <c r="A402" s="687" t="s">
        <v>222</v>
      </c>
      <c r="B402" s="628" t="s">
        <v>221</v>
      </c>
      <c r="C402" s="630">
        <v>2017</v>
      </c>
      <c r="D402" s="629" t="s">
        <v>1236</v>
      </c>
      <c r="E402" s="979"/>
      <c r="F402" s="630" t="s">
        <v>1236</v>
      </c>
      <c r="G402" s="631" t="s">
        <v>4</v>
      </c>
      <c r="H402" s="631">
        <v>2019</v>
      </c>
      <c r="I402" s="627" t="s">
        <v>5</v>
      </c>
      <c r="J402" s="567"/>
      <c r="K402" s="568"/>
    </row>
    <row r="403" spans="1:11" x14ac:dyDescent="0.25">
      <c r="A403" s="560"/>
      <c r="B403" s="561"/>
      <c r="C403" s="630" t="s">
        <v>6</v>
      </c>
      <c r="D403" s="634">
        <v>43069</v>
      </c>
      <c r="E403" s="629" t="s">
        <v>6</v>
      </c>
      <c r="F403" s="634">
        <v>43131</v>
      </c>
      <c r="G403" s="635" t="s">
        <v>1131</v>
      </c>
      <c r="H403" s="635" t="s">
        <v>6</v>
      </c>
      <c r="I403" s="627" t="s">
        <v>92</v>
      </c>
      <c r="J403" s="567"/>
      <c r="K403" s="568"/>
    </row>
    <row r="404" spans="1:11" x14ac:dyDescent="0.25">
      <c r="A404" s="590"/>
      <c r="B404" s="576" t="s">
        <v>93</v>
      </c>
      <c r="C404" s="564"/>
      <c r="D404" s="593"/>
      <c r="E404" s="593"/>
      <c r="F404" s="564"/>
      <c r="G404" s="581"/>
      <c r="I404" s="581"/>
      <c r="J404" s="567"/>
      <c r="K404" s="568"/>
    </row>
    <row r="405" spans="1:11" x14ac:dyDescent="0.25">
      <c r="A405" s="590">
        <v>50991</v>
      </c>
      <c r="B405" s="576" t="s">
        <v>223</v>
      </c>
      <c r="C405" s="562">
        <v>0</v>
      </c>
      <c r="D405" s="562">
        <v>0</v>
      </c>
      <c r="E405" s="902">
        <v>0.01</v>
      </c>
      <c r="F405" s="562"/>
      <c r="G405" s="562">
        <v>0</v>
      </c>
      <c r="I405" s="562"/>
      <c r="J405" s="567"/>
      <c r="K405" s="568"/>
    </row>
    <row r="406" spans="1:11" x14ac:dyDescent="0.25">
      <c r="A406" s="590">
        <v>50999</v>
      </c>
      <c r="B406" s="576" t="s">
        <v>224</v>
      </c>
      <c r="C406" s="581">
        <v>3000</v>
      </c>
      <c r="D406" s="721">
        <v>5493.58</v>
      </c>
      <c r="E406" s="907">
        <f>500+750+200+394+500</f>
        <v>2344</v>
      </c>
      <c r="F406" s="581"/>
      <c r="G406" s="581">
        <v>2344</v>
      </c>
      <c r="I406" s="639">
        <f>F406/C406</f>
        <v>0</v>
      </c>
      <c r="J406" s="567"/>
      <c r="K406" s="568"/>
    </row>
    <row r="407" spans="1:11" x14ac:dyDescent="0.25">
      <c r="A407" s="694"/>
      <c r="B407" s="576" t="s">
        <v>1280</v>
      </c>
      <c r="C407" s="581"/>
      <c r="D407" s="581"/>
      <c r="E407" s="901"/>
      <c r="F407" s="581"/>
      <c r="G407" s="581"/>
      <c r="I407" s="581"/>
      <c r="J407" s="567"/>
      <c r="K407" s="568"/>
    </row>
    <row r="408" spans="1:11" x14ac:dyDescent="0.25">
      <c r="A408" s="590"/>
      <c r="B408" s="576" t="s">
        <v>1281</v>
      </c>
      <c r="C408" s="581"/>
      <c r="D408" s="581"/>
      <c r="E408" s="901"/>
      <c r="F408" s="581"/>
      <c r="G408" s="581"/>
      <c r="I408" s="581"/>
      <c r="J408" s="567"/>
      <c r="K408" s="568"/>
    </row>
    <row r="409" spans="1:11" x14ac:dyDescent="0.25">
      <c r="A409" s="590"/>
      <c r="B409" s="576" t="s">
        <v>1282</v>
      </c>
      <c r="C409" s="581"/>
      <c r="D409" s="581"/>
      <c r="E409" s="901"/>
      <c r="F409" s="581"/>
      <c r="G409" s="581"/>
      <c r="I409" s="581"/>
      <c r="J409" s="567"/>
      <c r="K409" s="568"/>
    </row>
    <row r="410" spans="1:11" x14ac:dyDescent="0.25">
      <c r="A410" s="590"/>
      <c r="B410" s="576" t="s">
        <v>1283</v>
      </c>
      <c r="C410" s="581"/>
      <c r="D410" s="581"/>
      <c r="E410" s="901"/>
      <c r="F410" s="581"/>
      <c r="G410" s="581"/>
      <c r="I410" s="581"/>
      <c r="J410" s="567"/>
      <c r="K410" s="568"/>
    </row>
    <row r="411" spans="1:11" x14ac:dyDescent="0.25">
      <c r="A411" s="590"/>
      <c r="B411" s="576" t="s">
        <v>1284</v>
      </c>
      <c r="C411" s="581"/>
      <c r="D411" s="581"/>
      <c r="E411" s="901"/>
      <c r="F411" s="581"/>
      <c r="G411" s="581"/>
      <c r="I411" s="581"/>
      <c r="J411" s="567"/>
      <c r="K411" s="568"/>
    </row>
    <row r="412" spans="1:11" ht="25.15" customHeight="1" x14ac:dyDescent="0.25">
      <c r="A412" s="590">
        <v>59651</v>
      </c>
      <c r="B412" s="815" t="s">
        <v>1285</v>
      </c>
      <c r="C412" s="581">
        <v>7650</v>
      </c>
      <c r="D412" s="721">
        <v>0</v>
      </c>
      <c r="E412" s="907">
        <v>1250</v>
      </c>
      <c r="F412" s="581"/>
      <c r="G412" s="581">
        <v>1250</v>
      </c>
      <c r="H412" s="648"/>
      <c r="I412" s="639">
        <f t="shared" ref="I412:I425" si="36">F412/C412</f>
        <v>0</v>
      </c>
      <c r="J412" s="567"/>
      <c r="K412" s="568"/>
    </row>
    <row r="413" spans="1:11" x14ac:dyDescent="0.25">
      <c r="A413" s="590">
        <v>59653</v>
      </c>
      <c r="B413" s="576" t="s">
        <v>225</v>
      </c>
      <c r="C413" s="581">
        <v>0</v>
      </c>
      <c r="D413" s="581">
        <v>0</v>
      </c>
      <c r="E413" s="901">
        <v>0.01</v>
      </c>
      <c r="F413" s="581"/>
      <c r="G413" s="581">
        <v>0</v>
      </c>
      <c r="I413" s="639" t="e">
        <f t="shared" si="36"/>
        <v>#DIV/0!</v>
      </c>
      <c r="J413" s="567"/>
      <c r="K413" s="568"/>
    </row>
    <row r="414" spans="1:11" x14ac:dyDescent="0.25">
      <c r="A414" s="590">
        <v>59850</v>
      </c>
      <c r="B414" s="576" t="s">
        <v>105</v>
      </c>
      <c r="C414" s="581"/>
      <c r="D414" s="581">
        <v>0</v>
      </c>
      <c r="E414" s="901">
        <v>0.01</v>
      </c>
      <c r="F414" s="581"/>
      <c r="G414" s="581">
        <v>0</v>
      </c>
      <c r="I414" s="639" t="e">
        <f t="shared" si="36"/>
        <v>#DIV/0!</v>
      </c>
      <c r="J414" s="567"/>
      <c r="K414" s="568"/>
    </row>
    <row r="415" spans="1:11" x14ac:dyDescent="0.25">
      <c r="A415" s="575">
        <v>63000</v>
      </c>
      <c r="B415" s="576" t="s">
        <v>142</v>
      </c>
      <c r="C415" s="581"/>
      <c r="D415" s="581">
        <v>0</v>
      </c>
      <c r="E415" s="901">
        <v>0.01</v>
      </c>
      <c r="F415" s="581"/>
      <c r="G415" s="581">
        <v>0</v>
      </c>
      <c r="I415" s="639" t="e">
        <f t="shared" si="36"/>
        <v>#DIV/0!</v>
      </c>
      <c r="J415" s="567"/>
      <c r="K415" s="568"/>
    </row>
    <row r="416" spans="1:11" x14ac:dyDescent="0.25">
      <c r="A416" s="590">
        <v>63261</v>
      </c>
      <c r="B416" s="576" t="s">
        <v>226</v>
      </c>
      <c r="C416" s="581"/>
      <c r="D416" s="581">
        <v>2019.24</v>
      </c>
      <c r="E416" s="901">
        <v>0</v>
      </c>
      <c r="F416" s="581"/>
      <c r="G416" s="581">
        <v>0</v>
      </c>
      <c r="I416" s="639" t="e">
        <f t="shared" si="36"/>
        <v>#DIV/0!</v>
      </c>
      <c r="J416" s="567"/>
      <c r="K416" s="568"/>
    </row>
    <row r="417" spans="1:11" x14ac:dyDescent="0.25">
      <c r="A417" s="590">
        <v>63262</v>
      </c>
      <c r="B417" s="576" t="s">
        <v>1160</v>
      </c>
      <c r="C417" s="581"/>
      <c r="D417" s="581">
        <v>0</v>
      </c>
      <c r="E417" s="901">
        <v>0.01</v>
      </c>
      <c r="F417" s="581"/>
      <c r="G417" s="581">
        <v>0</v>
      </c>
      <c r="I417" s="639" t="e">
        <f t="shared" si="36"/>
        <v>#DIV/0!</v>
      </c>
      <c r="J417" s="567"/>
      <c r="K417" s="568"/>
    </row>
    <row r="418" spans="1:11" x14ac:dyDescent="0.25">
      <c r="A418" s="590">
        <v>63263</v>
      </c>
      <c r="B418" s="576" t="s">
        <v>227</v>
      </c>
      <c r="C418" s="581"/>
      <c r="D418" s="581">
        <v>0</v>
      </c>
      <c r="E418" s="901">
        <v>0.01</v>
      </c>
      <c r="F418" s="581"/>
      <c r="G418" s="581">
        <v>0</v>
      </c>
      <c r="I418" s="639" t="e">
        <f t="shared" si="36"/>
        <v>#DIV/0!</v>
      </c>
      <c r="J418" s="567"/>
      <c r="K418" s="568"/>
    </row>
    <row r="419" spans="1:11" x14ac:dyDescent="0.25">
      <c r="A419" s="590">
        <v>63264</v>
      </c>
      <c r="B419" s="576" t="s">
        <v>228</v>
      </c>
      <c r="C419" s="581"/>
      <c r="D419" s="581">
        <v>0</v>
      </c>
      <c r="E419" s="901">
        <v>0</v>
      </c>
      <c r="F419" s="581"/>
      <c r="G419" s="581">
        <v>0</v>
      </c>
      <c r="I419" s="639" t="e">
        <f t="shared" si="36"/>
        <v>#DIV/0!</v>
      </c>
      <c r="J419" s="567"/>
      <c r="K419" s="568"/>
    </row>
    <row r="420" spans="1:11" x14ac:dyDescent="0.25">
      <c r="A420" s="590">
        <v>64030</v>
      </c>
      <c r="B420" s="576" t="s">
        <v>229</v>
      </c>
      <c r="C420" s="581"/>
      <c r="D420" s="581">
        <v>0</v>
      </c>
      <c r="E420" s="901">
        <v>0.01</v>
      </c>
      <c r="F420" s="581"/>
      <c r="G420" s="581">
        <v>0</v>
      </c>
      <c r="I420" s="639" t="e">
        <f t="shared" si="36"/>
        <v>#DIV/0!</v>
      </c>
      <c r="J420" s="567"/>
      <c r="K420" s="568"/>
    </row>
    <row r="421" spans="1:11" x14ac:dyDescent="0.25">
      <c r="A421" s="590">
        <v>64031</v>
      </c>
      <c r="B421" s="576" t="s">
        <v>230</v>
      </c>
      <c r="C421" s="581"/>
      <c r="D421" s="581">
        <v>0</v>
      </c>
      <c r="E421" s="901">
        <v>0</v>
      </c>
      <c r="F421" s="581"/>
      <c r="G421" s="581">
        <v>0</v>
      </c>
      <c r="I421" s="639" t="e">
        <f t="shared" si="36"/>
        <v>#DIV/0!</v>
      </c>
      <c r="J421" s="567"/>
      <c r="K421" s="568"/>
    </row>
    <row r="422" spans="1:11" x14ac:dyDescent="0.25">
      <c r="A422" s="575">
        <v>64750</v>
      </c>
      <c r="B422" s="576" t="s">
        <v>231</v>
      </c>
      <c r="C422" s="581">
        <v>1000</v>
      </c>
      <c r="D422" s="581">
        <v>341.84</v>
      </c>
      <c r="E422" s="901">
        <v>400</v>
      </c>
      <c r="F422" s="581"/>
      <c r="G422" s="581">
        <v>400</v>
      </c>
      <c r="I422" s="639">
        <f t="shared" si="36"/>
        <v>0</v>
      </c>
      <c r="J422" s="567"/>
      <c r="K422" s="568"/>
    </row>
    <row r="423" spans="1:11" x14ac:dyDescent="0.25">
      <c r="A423" s="575">
        <v>64751</v>
      </c>
      <c r="B423" s="576" t="s">
        <v>232</v>
      </c>
      <c r="C423" s="581">
        <v>0</v>
      </c>
      <c r="D423" s="581">
        <v>0</v>
      </c>
      <c r="E423" s="901">
        <v>0.01</v>
      </c>
      <c r="F423" s="581"/>
      <c r="G423" s="581">
        <v>0</v>
      </c>
      <c r="I423" s="639" t="e">
        <f t="shared" si="36"/>
        <v>#DIV/0!</v>
      </c>
      <c r="J423" s="567"/>
      <c r="K423" s="568"/>
    </row>
    <row r="424" spans="1:11" x14ac:dyDescent="0.25">
      <c r="A424" s="575">
        <v>64760</v>
      </c>
      <c r="B424" s="576" t="s">
        <v>233</v>
      </c>
      <c r="C424" s="581">
        <v>0</v>
      </c>
      <c r="D424" s="581">
        <v>0</v>
      </c>
      <c r="E424" s="901">
        <v>0</v>
      </c>
      <c r="F424" s="581"/>
      <c r="G424" s="581">
        <v>0</v>
      </c>
      <c r="I424" s="639" t="e">
        <f t="shared" si="36"/>
        <v>#DIV/0!</v>
      </c>
      <c r="J424" s="567"/>
      <c r="K424" s="568"/>
    </row>
    <row r="425" spans="1:11" x14ac:dyDescent="0.25">
      <c r="A425" s="575">
        <v>64762</v>
      </c>
      <c r="B425" s="576" t="s">
        <v>234</v>
      </c>
      <c r="C425" s="581">
        <v>5000</v>
      </c>
      <c r="D425" s="581">
        <v>478</v>
      </c>
      <c r="E425" s="901"/>
      <c r="F425" s="581"/>
      <c r="G425" s="581"/>
      <c r="I425" s="639">
        <f t="shared" si="36"/>
        <v>0</v>
      </c>
      <c r="J425" s="567"/>
      <c r="K425" s="568"/>
    </row>
    <row r="426" spans="1:11" x14ac:dyDescent="0.25">
      <c r="A426" s="948">
        <v>64764</v>
      </c>
      <c r="B426" s="900" t="s">
        <v>1183</v>
      </c>
      <c r="C426" s="581"/>
      <c r="D426" s="581">
        <v>16862.68</v>
      </c>
      <c r="E426" s="901"/>
      <c r="F426" s="581"/>
      <c r="G426" s="581"/>
      <c r="I426" s="639"/>
      <c r="J426" s="567"/>
      <c r="K426" s="568"/>
    </row>
    <row r="427" spans="1:11" x14ac:dyDescent="0.25">
      <c r="A427" s="948">
        <v>64766</v>
      </c>
      <c r="B427" s="900" t="s">
        <v>1184</v>
      </c>
      <c r="C427" s="581"/>
      <c r="D427" s="581">
        <v>53210</v>
      </c>
      <c r="E427" s="901"/>
      <c r="F427" s="581"/>
      <c r="G427" s="581"/>
      <c r="I427" s="639"/>
      <c r="J427" s="567"/>
      <c r="K427" s="568"/>
    </row>
    <row r="428" spans="1:11" x14ac:dyDescent="0.25">
      <c r="A428" s="590">
        <v>64800</v>
      </c>
      <c r="B428" s="576" t="s">
        <v>1271</v>
      </c>
      <c r="C428" s="581">
        <v>0</v>
      </c>
      <c r="D428" s="581">
        <v>132891.85999999999</v>
      </c>
      <c r="E428" s="902">
        <v>145000</v>
      </c>
      <c r="F428" s="581"/>
      <c r="G428" s="581">
        <v>145000</v>
      </c>
      <c r="H428" s="581"/>
      <c r="I428" s="639" t="e">
        <f>F428/C428</f>
        <v>#DIV/0!</v>
      </c>
      <c r="J428" s="567"/>
      <c r="K428" s="695"/>
    </row>
    <row r="429" spans="1:11" x14ac:dyDescent="0.25">
      <c r="A429" s="575">
        <v>64850</v>
      </c>
      <c r="B429" s="576" t="s">
        <v>235</v>
      </c>
      <c r="C429" s="581">
        <v>0</v>
      </c>
      <c r="D429" s="581">
        <v>311060.81</v>
      </c>
      <c r="E429" s="902">
        <v>310000</v>
      </c>
      <c r="F429" s="581"/>
      <c r="G429" s="581">
        <v>310000</v>
      </c>
      <c r="H429" s="581"/>
      <c r="I429" s="639" t="e">
        <f>F429/C429</f>
        <v>#DIV/0!</v>
      </c>
      <c r="J429" s="567"/>
      <c r="K429" s="695"/>
    </row>
    <row r="430" spans="1:11" x14ac:dyDescent="0.25">
      <c r="A430" s="590">
        <v>68010</v>
      </c>
      <c r="B430" s="576" t="s">
        <v>236</v>
      </c>
      <c r="C430" s="581">
        <v>1000</v>
      </c>
      <c r="D430" s="581">
        <v>1200</v>
      </c>
      <c r="E430" s="901">
        <v>1200</v>
      </c>
      <c r="F430" s="581"/>
      <c r="G430" s="581">
        <v>1200</v>
      </c>
      <c r="H430" s="581"/>
      <c r="I430" s="639">
        <f>F430/C430</f>
        <v>0</v>
      </c>
      <c r="J430" s="567"/>
      <c r="K430" s="568"/>
    </row>
    <row r="431" spans="1:11" x14ac:dyDescent="0.25">
      <c r="A431" s="590"/>
      <c r="B431" s="576" t="s">
        <v>1166</v>
      </c>
      <c r="C431" s="581"/>
      <c r="D431" s="581"/>
      <c r="E431" s="901"/>
      <c r="F431" s="581"/>
      <c r="G431" s="581"/>
      <c r="I431" s="581"/>
      <c r="J431" s="567"/>
      <c r="K431" s="568"/>
    </row>
    <row r="432" spans="1:11" x14ac:dyDescent="0.25">
      <c r="A432" s="590"/>
      <c r="B432" s="576" t="s">
        <v>1165</v>
      </c>
      <c r="C432" s="581"/>
      <c r="D432" s="581"/>
      <c r="E432" s="901"/>
      <c r="F432" s="581"/>
      <c r="G432" s="581"/>
      <c r="I432" s="581"/>
      <c r="J432" s="567"/>
      <c r="K432" s="568"/>
    </row>
    <row r="433" spans="1:11" x14ac:dyDescent="0.25">
      <c r="A433" s="575">
        <v>69911</v>
      </c>
      <c r="B433" s="576" t="s">
        <v>238</v>
      </c>
      <c r="C433" s="581"/>
      <c r="D433" s="581">
        <v>0</v>
      </c>
      <c r="E433" s="901">
        <v>0.01</v>
      </c>
      <c r="F433" s="581"/>
      <c r="G433" s="581">
        <v>0</v>
      </c>
      <c r="I433" s="639" t="e">
        <f t="shared" ref="I433:I436" si="37">F433/C433</f>
        <v>#DIV/0!</v>
      </c>
      <c r="J433" s="567"/>
      <c r="K433" s="568"/>
    </row>
    <row r="434" spans="1:11" x14ac:dyDescent="0.25">
      <c r="A434" s="575">
        <v>69920</v>
      </c>
      <c r="B434" s="576" t="s">
        <v>1292</v>
      </c>
      <c r="C434" s="581">
        <v>10000</v>
      </c>
      <c r="D434" s="581">
        <v>6300.4</v>
      </c>
      <c r="E434" s="901">
        <v>10000</v>
      </c>
      <c r="F434" s="581"/>
      <c r="G434" s="581">
        <v>10000</v>
      </c>
      <c r="H434" s="648"/>
      <c r="I434" s="639">
        <f t="shared" si="37"/>
        <v>0</v>
      </c>
      <c r="J434" s="567"/>
      <c r="K434" s="568"/>
    </row>
    <row r="435" spans="1:11" x14ac:dyDescent="0.25">
      <c r="A435" s="590">
        <v>69999</v>
      </c>
      <c r="B435" s="576" t="s">
        <v>239</v>
      </c>
      <c r="C435" s="581">
        <v>550</v>
      </c>
      <c r="D435" s="581">
        <v>200</v>
      </c>
      <c r="E435" s="901">
        <v>250</v>
      </c>
      <c r="F435" s="581"/>
      <c r="G435" s="581">
        <v>250</v>
      </c>
      <c r="I435" s="639">
        <f t="shared" si="37"/>
        <v>0</v>
      </c>
      <c r="J435" s="567"/>
      <c r="K435" s="568"/>
    </row>
    <row r="436" spans="1:11" x14ac:dyDescent="0.25">
      <c r="A436" s="560"/>
      <c r="B436" s="561" t="s">
        <v>116</v>
      </c>
      <c r="C436" s="563">
        <f>SUM(C404:C435)</f>
        <v>28200</v>
      </c>
      <c r="D436" s="563">
        <f>SUM(D404:D435)</f>
        <v>530058.41</v>
      </c>
      <c r="E436" s="954">
        <f>SUM(E400:E435)</f>
        <v>664939.15000000014</v>
      </c>
      <c r="F436" s="563">
        <f>SUM(F405:F435)</f>
        <v>0</v>
      </c>
      <c r="G436" s="563">
        <f>SUM(G400:G435)</f>
        <v>664939</v>
      </c>
      <c r="H436" s="563">
        <f>SUM(H404:H435)</f>
        <v>0</v>
      </c>
      <c r="I436" s="639">
        <f t="shared" si="37"/>
        <v>0</v>
      </c>
      <c r="J436" s="567"/>
      <c r="K436" s="568"/>
    </row>
    <row r="437" spans="1:11" s="569" customFormat="1" x14ac:dyDescent="0.25">
      <c r="A437" s="560"/>
      <c r="B437" s="561"/>
      <c r="C437" s="564"/>
      <c r="D437" s="576"/>
      <c r="E437" s="576"/>
      <c r="F437" s="564"/>
      <c r="G437" s="581"/>
      <c r="H437" s="696"/>
      <c r="I437" s="581"/>
      <c r="J437" s="567"/>
      <c r="K437" s="568"/>
    </row>
    <row r="438" spans="1:11" x14ac:dyDescent="0.25">
      <c r="A438" s="687" t="s">
        <v>240</v>
      </c>
      <c r="B438" s="688" t="s">
        <v>241</v>
      </c>
      <c r="C438" s="625">
        <v>2017</v>
      </c>
      <c r="D438" s="631" t="s">
        <v>1236</v>
      </c>
      <c r="E438" s="631">
        <v>2018</v>
      </c>
      <c r="F438" s="625" t="s">
        <v>1236</v>
      </c>
      <c r="G438" s="631" t="s">
        <v>4</v>
      </c>
      <c r="H438" s="631">
        <v>2019</v>
      </c>
      <c r="I438" s="627" t="s">
        <v>5</v>
      </c>
      <c r="J438" s="567"/>
      <c r="K438" s="568"/>
    </row>
    <row r="439" spans="1:11" x14ac:dyDescent="0.25">
      <c r="A439" s="590"/>
      <c r="B439" s="576" t="s">
        <v>93</v>
      </c>
      <c r="C439" s="625" t="s">
        <v>6</v>
      </c>
      <c r="D439" s="635">
        <v>43069</v>
      </c>
      <c r="E439" s="631" t="s">
        <v>6</v>
      </c>
      <c r="F439" s="634">
        <v>43131</v>
      </c>
      <c r="G439" s="635" t="s">
        <v>1131</v>
      </c>
      <c r="H439" s="635" t="s">
        <v>6</v>
      </c>
      <c r="I439" s="626" t="s">
        <v>92</v>
      </c>
      <c r="J439" s="567"/>
      <c r="K439" s="568"/>
    </row>
    <row r="440" spans="1:11" x14ac:dyDescent="0.25">
      <c r="A440" s="590">
        <v>63000</v>
      </c>
      <c r="B440" s="576" t="s">
        <v>142</v>
      </c>
      <c r="C440" s="581">
        <v>0</v>
      </c>
      <c r="D440" s="581">
        <v>665</v>
      </c>
      <c r="E440" s="581">
        <v>0</v>
      </c>
      <c r="F440" s="648"/>
      <c r="G440" s="581">
        <v>0</v>
      </c>
      <c r="H440" s="648">
        <v>0</v>
      </c>
      <c r="I440" s="639" t="e">
        <f>F440/C440</f>
        <v>#DIV/0!</v>
      </c>
      <c r="J440" s="697"/>
      <c r="K440" s="621"/>
    </row>
    <row r="441" spans="1:11" x14ac:dyDescent="0.25">
      <c r="A441" s="590">
        <v>69010</v>
      </c>
      <c r="B441" s="576" t="s">
        <v>156</v>
      </c>
      <c r="C441" s="581">
        <v>0</v>
      </c>
      <c r="D441" s="581">
        <v>0</v>
      </c>
      <c r="E441" s="581">
        <v>0</v>
      </c>
      <c r="F441" s="648"/>
      <c r="G441" s="581">
        <v>0</v>
      </c>
      <c r="H441" s="648">
        <v>0</v>
      </c>
      <c r="I441" s="639" t="e">
        <f>F441/C441</f>
        <v>#DIV/0!</v>
      </c>
      <c r="J441" s="567"/>
      <c r="K441" s="568"/>
    </row>
    <row r="442" spans="1:11" x14ac:dyDescent="0.25">
      <c r="A442" s="596"/>
      <c r="B442" s="583" t="s">
        <v>242</v>
      </c>
      <c r="C442" s="566">
        <f>SUM(C440:C441)</f>
        <v>0</v>
      </c>
      <c r="D442" s="566">
        <f t="shared" ref="D442:H442" si="38">SUM(D440:D441)</f>
        <v>665</v>
      </c>
      <c r="E442" s="566">
        <f>SUM(E440:E441)</f>
        <v>0</v>
      </c>
      <c r="F442" s="683">
        <f t="shared" si="38"/>
        <v>0</v>
      </c>
      <c r="G442" s="698">
        <f>SUM(G440:G441)</f>
        <v>0</v>
      </c>
      <c r="H442" s="698">
        <f t="shared" si="38"/>
        <v>0</v>
      </c>
      <c r="I442" s="639" t="e">
        <f>F442/C442</f>
        <v>#DIV/0!</v>
      </c>
      <c r="J442" s="699"/>
      <c r="K442" s="700"/>
    </row>
    <row r="443" spans="1:11" s="569" customFormat="1" x14ac:dyDescent="0.25">
      <c r="A443" s="590"/>
      <c r="B443" s="576"/>
      <c r="C443" s="564"/>
      <c r="D443" s="576"/>
      <c r="E443" s="576"/>
      <c r="F443" s="564"/>
      <c r="G443" s="581"/>
      <c r="H443" s="581"/>
      <c r="I443" s="581"/>
      <c r="J443" s="567"/>
      <c r="K443" s="568"/>
    </row>
    <row r="444" spans="1:11" x14ac:dyDescent="0.25">
      <c r="A444" s="687" t="s">
        <v>244</v>
      </c>
      <c r="B444" s="688" t="s">
        <v>243</v>
      </c>
      <c r="C444" s="630">
        <v>2017</v>
      </c>
      <c r="D444" s="629" t="s">
        <v>1236</v>
      </c>
      <c r="E444" s="629">
        <v>2018</v>
      </c>
      <c r="F444" s="630" t="s">
        <v>1236</v>
      </c>
      <c r="G444" s="631" t="s">
        <v>4</v>
      </c>
      <c r="H444" s="631">
        <v>2019</v>
      </c>
      <c r="I444" s="627" t="s">
        <v>5</v>
      </c>
      <c r="J444" s="567"/>
      <c r="K444" s="568"/>
    </row>
    <row r="445" spans="1:11" x14ac:dyDescent="0.25">
      <c r="A445" s="560"/>
      <c r="B445" s="576" t="s">
        <v>93</v>
      </c>
      <c r="C445" s="630" t="s">
        <v>6</v>
      </c>
      <c r="D445" s="634">
        <v>43069</v>
      </c>
      <c r="E445" s="629" t="s">
        <v>6</v>
      </c>
      <c r="F445" s="634">
        <v>43131</v>
      </c>
      <c r="G445" s="635" t="s">
        <v>1131</v>
      </c>
      <c r="H445" s="635" t="s">
        <v>6</v>
      </c>
      <c r="I445" s="627" t="s">
        <v>92</v>
      </c>
      <c r="J445" s="666"/>
      <c r="K445" s="568"/>
    </row>
    <row r="446" spans="1:11" x14ac:dyDescent="0.25">
      <c r="A446" s="590">
        <v>63415</v>
      </c>
      <c r="B446" s="576" t="s">
        <v>245</v>
      </c>
      <c r="C446" s="581">
        <v>2500</v>
      </c>
      <c r="D446" s="564">
        <v>2121</v>
      </c>
      <c r="E446" s="957">
        <v>2150</v>
      </c>
      <c r="F446" s="648"/>
      <c r="G446" s="581">
        <v>2150</v>
      </c>
      <c r="I446" s="639">
        <f>F446/C446</f>
        <v>0</v>
      </c>
      <c r="J446" s="666"/>
      <c r="K446" s="568"/>
    </row>
    <row r="447" spans="1:11" x14ac:dyDescent="0.25">
      <c r="A447" s="590"/>
      <c r="B447" s="576"/>
      <c r="C447" s="564"/>
      <c r="D447" s="581"/>
      <c r="E447" s="901"/>
      <c r="F447" s="564"/>
      <c r="G447" s="581"/>
      <c r="H447" s="581"/>
      <c r="I447" s="581"/>
      <c r="J447" s="567"/>
      <c r="K447" s="568"/>
    </row>
    <row r="448" spans="1:11" x14ac:dyDescent="0.25">
      <c r="A448" s="590"/>
      <c r="B448" s="583" t="s">
        <v>242</v>
      </c>
      <c r="C448" s="564">
        <f>SUM(C446:C446)</f>
        <v>2500</v>
      </c>
      <c r="D448" s="581">
        <f>SUM(D446:D446)</f>
        <v>2121</v>
      </c>
      <c r="E448" s="956">
        <f>SUM(E446:E446)</f>
        <v>2150</v>
      </c>
      <c r="F448" s="565">
        <f>SUM(F446:F446)</f>
        <v>0</v>
      </c>
      <c r="G448" s="566">
        <f>SUM(G446:G446)</f>
        <v>2150</v>
      </c>
      <c r="H448" s="581"/>
      <c r="I448" s="581"/>
      <c r="J448" s="567"/>
      <c r="K448" s="568"/>
    </row>
    <row r="449" spans="1:11" x14ac:dyDescent="0.25">
      <c r="A449" s="687" t="s">
        <v>246</v>
      </c>
      <c r="B449" s="688" t="s">
        <v>247</v>
      </c>
      <c r="C449" s="630">
        <v>2017</v>
      </c>
      <c r="D449" s="629" t="s">
        <v>1236</v>
      </c>
      <c r="E449" s="629">
        <v>2018</v>
      </c>
      <c r="F449" s="630" t="s">
        <v>1236</v>
      </c>
      <c r="G449" s="631" t="s">
        <v>4</v>
      </c>
      <c r="H449" s="631">
        <v>2019</v>
      </c>
      <c r="I449" s="627" t="s">
        <v>5</v>
      </c>
      <c r="J449" s="567"/>
      <c r="K449" s="568"/>
    </row>
    <row r="450" spans="1:11" x14ac:dyDescent="0.25">
      <c r="A450" s="576"/>
      <c r="B450" s="576" t="s">
        <v>93</v>
      </c>
      <c r="C450" s="630" t="s">
        <v>6</v>
      </c>
      <c r="D450" s="634">
        <v>43069</v>
      </c>
      <c r="E450" s="629" t="s">
        <v>6</v>
      </c>
      <c r="F450" s="634">
        <v>43131</v>
      </c>
      <c r="G450" s="635" t="s">
        <v>1131</v>
      </c>
      <c r="H450" s="635" t="s">
        <v>6</v>
      </c>
      <c r="I450" s="627" t="s">
        <v>92</v>
      </c>
      <c r="J450" s="567"/>
      <c r="K450" s="568"/>
    </row>
    <row r="451" spans="1:11" x14ac:dyDescent="0.25">
      <c r="A451" s="590">
        <v>63421</v>
      </c>
      <c r="B451" s="576" t="s">
        <v>248</v>
      </c>
      <c r="C451" s="581"/>
      <c r="D451" s="581">
        <v>12750</v>
      </c>
      <c r="E451" s="562">
        <v>0</v>
      </c>
      <c r="F451" s="648"/>
      <c r="G451" s="581">
        <v>0</v>
      </c>
      <c r="H451" s="648">
        <v>0</v>
      </c>
      <c r="I451" s="639" t="e">
        <f>F451/C451</f>
        <v>#DIV/0!</v>
      </c>
      <c r="J451" s="567"/>
      <c r="K451" s="568"/>
    </row>
    <row r="452" spans="1:11" x14ac:dyDescent="0.25">
      <c r="A452" s="590">
        <v>63423</v>
      </c>
      <c r="B452" s="576" t="s">
        <v>249</v>
      </c>
      <c r="C452" s="614"/>
      <c r="D452" s="581">
        <v>0</v>
      </c>
      <c r="E452" s="562">
        <v>0</v>
      </c>
      <c r="F452" s="648"/>
      <c r="G452" s="581">
        <v>0</v>
      </c>
      <c r="H452" s="648">
        <v>0</v>
      </c>
      <c r="I452" s="639" t="e">
        <f>F452/C452</f>
        <v>#DIV/0!</v>
      </c>
      <c r="J452" s="567"/>
      <c r="K452" s="568"/>
    </row>
    <row r="453" spans="1:11" x14ac:dyDescent="0.25">
      <c r="A453" s="590">
        <v>63424</v>
      </c>
      <c r="B453" s="576" t="s">
        <v>250</v>
      </c>
      <c r="C453" s="614"/>
      <c r="D453" s="581">
        <v>0</v>
      </c>
      <c r="E453" s="562">
        <v>0</v>
      </c>
      <c r="F453" s="648"/>
      <c r="G453" s="581">
        <v>0</v>
      </c>
      <c r="H453" s="648">
        <v>0</v>
      </c>
      <c r="I453" s="639"/>
      <c r="J453" s="567"/>
      <c r="K453" s="568"/>
    </row>
    <row r="454" spans="1:11" x14ac:dyDescent="0.25">
      <c r="A454" s="590">
        <v>63425</v>
      </c>
      <c r="B454" s="576" t="s">
        <v>1122</v>
      </c>
      <c r="C454" s="614"/>
      <c r="D454" s="581">
        <v>0</v>
      </c>
      <c r="E454" s="562">
        <v>0</v>
      </c>
      <c r="F454" s="648"/>
      <c r="G454" s="581">
        <v>0</v>
      </c>
      <c r="H454" s="648">
        <v>0</v>
      </c>
      <c r="I454" s="639"/>
      <c r="J454" s="567"/>
      <c r="K454" s="568"/>
    </row>
    <row r="455" spans="1:11" x14ac:dyDescent="0.25">
      <c r="A455" s="596"/>
      <c r="B455" s="583" t="s">
        <v>242</v>
      </c>
      <c r="C455" s="562">
        <f t="shared" ref="C455" si="39">SUM(C451:C454)</f>
        <v>0</v>
      </c>
      <c r="D455" s="562">
        <f>SUM(D451:D454)</f>
        <v>12750</v>
      </c>
      <c r="E455" s="562">
        <f>SUM(E451:E454)</f>
        <v>0</v>
      </c>
      <c r="F455" s="683">
        <f>SUM(F451:F454)</f>
        <v>0</v>
      </c>
      <c r="G455" s="562">
        <f>SUM(G451:G454)</f>
        <v>0</v>
      </c>
      <c r="H455" s="562">
        <f>SUM(H451:H454)</f>
        <v>0</v>
      </c>
      <c r="I455" s="639" t="e">
        <f>F455/C455</f>
        <v>#DIV/0!</v>
      </c>
      <c r="J455" s="699"/>
      <c r="K455" s="700"/>
    </row>
    <row r="456" spans="1:11" x14ac:dyDescent="0.25">
      <c r="A456" s="596"/>
      <c r="B456" s="583"/>
      <c r="C456" s="588"/>
      <c r="D456" s="587"/>
      <c r="E456" s="587"/>
      <c r="F456" s="588"/>
      <c r="G456" s="587"/>
      <c r="H456" s="587"/>
      <c r="I456" s="587"/>
      <c r="J456" s="699"/>
      <c r="K456" s="700"/>
    </row>
    <row r="457" spans="1:11" s="569" customFormat="1" x14ac:dyDescent="0.25">
      <c r="A457" s="687" t="s">
        <v>1072</v>
      </c>
      <c r="B457" s="688" t="s">
        <v>1073</v>
      </c>
      <c r="C457" s="677">
        <v>2017</v>
      </c>
      <c r="D457" s="765" t="s">
        <v>1236</v>
      </c>
      <c r="E457" s="765">
        <v>2018</v>
      </c>
      <c r="F457" s="677" t="s">
        <v>1236</v>
      </c>
      <c r="G457" s="765" t="s">
        <v>4</v>
      </c>
      <c r="H457" s="765">
        <v>2019</v>
      </c>
      <c r="I457" s="766" t="s">
        <v>5</v>
      </c>
      <c r="J457" s="567"/>
      <c r="K457" s="568"/>
    </row>
    <row r="458" spans="1:11" x14ac:dyDescent="0.25">
      <c r="A458" s="576"/>
      <c r="B458" s="576" t="s">
        <v>93</v>
      </c>
      <c r="C458" s="630" t="s">
        <v>6</v>
      </c>
      <c r="D458" s="634">
        <v>43069</v>
      </c>
      <c r="E458" s="629" t="s">
        <v>6</v>
      </c>
      <c r="F458" s="634">
        <v>43131</v>
      </c>
      <c r="G458" s="635" t="s">
        <v>1131</v>
      </c>
      <c r="H458" s="635" t="s">
        <v>6</v>
      </c>
      <c r="I458" s="627" t="s">
        <v>92</v>
      </c>
      <c r="J458" s="567"/>
      <c r="K458" s="568"/>
    </row>
    <row r="459" spans="1:11" x14ac:dyDescent="0.25">
      <c r="A459" s="590">
        <v>63426</v>
      </c>
      <c r="B459" s="576" t="s">
        <v>1074</v>
      </c>
      <c r="C459" s="581"/>
      <c r="D459" s="581">
        <v>73411</v>
      </c>
      <c r="E459" s="562">
        <v>0</v>
      </c>
      <c r="F459" s="648"/>
      <c r="G459" s="581">
        <v>0</v>
      </c>
      <c r="H459" s="648">
        <v>0</v>
      </c>
      <c r="I459" s="639" t="e">
        <f>F459/C459</f>
        <v>#DIV/0!</v>
      </c>
      <c r="J459" s="567"/>
      <c r="K459" s="568"/>
    </row>
    <row r="460" spans="1:11" x14ac:dyDescent="0.25">
      <c r="A460" s="596"/>
      <c r="B460" s="583" t="s">
        <v>242</v>
      </c>
      <c r="C460" s="564">
        <f>C459</f>
        <v>0</v>
      </c>
      <c r="D460" s="581">
        <f t="shared" ref="D460:H460" si="40">SUM(D459)</f>
        <v>73411</v>
      </c>
      <c r="E460" s="581">
        <f>SUM(E459)</f>
        <v>0</v>
      </c>
      <c r="F460" s="581">
        <f>SUM(F459)</f>
        <v>0</v>
      </c>
      <c r="G460" s="581">
        <f>SUM(G459)</f>
        <v>0</v>
      </c>
      <c r="H460" s="581">
        <f t="shared" si="40"/>
        <v>0</v>
      </c>
      <c r="I460" s="587" t="e">
        <f>F460/C460</f>
        <v>#DIV/0!</v>
      </c>
      <c r="J460" s="699"/>
      <c r="K460" s="700"/>
    </row>
    <row r="461" spans="1:11" x14ac:dyDescent="0.25">
      <c r="A461" s="596"/>
      <c r="B461" s="583"/>
      <c r="C461" s="588"/>
      <c r="D461" s="587"/>
      <c r="E461" s="587"/>
      <c r="F461" s="587"/>
      <c r="G461" s="587"/>
      <c r="H461" s="587"/>
      <c r="I461" s="587"/>
      <c r="J461" s="699"/>
      <c r="K461" s="700"/>
    </row>
    <row r="462" spans="1:11" x14ac:dyDescent="0.25">
      <c r="A462" s="688" t="s">
        <v>252</v>
      </c>
      <c r="B462" s="688" t="s">
        <v>251</v>
      </c>
      <c r="C462" s="630">
        <v>2017</v>
      </c>
      <c r="D462" s="629" t="s">
        <v>1236</v>
      </c>
      <c r="E462" s="629">
        <v>2018</v>
      </c>
      <c r="F462" s="630" t="s">
        <v>1236</v>
      </c>
      <c r="G462" s="631" t="s">
        <v>4</v>
      </c>
      <c r="H462" s="631">
        <v>2019</v>
      </c>
      <c r="I462" s="627" t="s">
        <v>5</v>
      </c>
      <c r="J462" s="567"/>
      <c r="K462" s="568"/>
    </row>
    <row r="463" spans="1:11" x14ac:dyDescent="0.25">
      <c r="A463" s="560"/>
      <c r="B463" s="576" t="s">
        <v>93</v>
      </c>
      <c r="C463" s="630" t="s">
        <v>6</v>
      </c>
      <c r="D463" s="634">
        <v>43069</v>
      </c>
      <c r="E463" s="629" t="s">
        <v>6</v>
      </c>
      <c r="F463" s="634">
        <v>43131</v>
      </c>
      <c r="G463" s="635" t="s">
        <v>1131</v>
      </c>
      <c r="H463" s="635" t="s">
        <v>6</v>
      </c>
      <c r="I463" s="627" t="s">
        <v>92</v>
      </c>
      <c r="J463" s="567"/>
      <c r="K463" s="568"/>
    </row>
    <row r="464" spans="1:11" x14ac:dyDescent="0.25">
      <c r="A464" s="590">
        <v>54212</v>
      </c>
      <c r="B464" s="576" t="s">
        <v>156</v>
      </c>
      <c r="C464" s="581">
        <v>0</v>
      </c>
      <c r="D464" s="564">
        <v>0</v>
      </c>
      <c r="E464" s="957">
        <v>0</v>
      </c>
      <c r="F464" s="648"/>
      <c r="G464" s="581">
        <v>0</v>
      </c>
      <c r="I464" s="639" t="e">
        <f>F464/C464</f>
        <v>#DIV/0!</v>
      </c>
      <c r="J464" s="567"/>
      <c r="K464" s="568"/>
    </row>
    <row r="465" spans="1:11" x14ac:dyDescent="0.25">
      <c r="A465" s="590">
        <v>63000</v>
      </c>
      <c r="B465" s="576" t="s">
        <v>142</v>
      </c>
      <c r="C465" s="581">
        <v>15000</v>
      </c>
      <c r="D465" s="581">
        <v>13464</v>
      </c>
      <c r="E465" s="902">
        <v>13500</v>
      </c>
      <c r="F465" s="648"/>
      <c r="G465" s="581">
        <v>13500</v>
      </c>
      <c r="I465" s="639">
        <f>F465/C465</f>
        <v>0</v>
      </c>
      <c r="J465" s="567"/>
      <c r="K465" s="568"/>
    </row>
    <row r="466" spans="1:11" x14ac:dyDescent="0.25">
      <c r="A466" s="590">
        <v>63954</v>
      </c>
      <c r="B466" s="576" t="s">
        <v>253</v>
      </c>
      <c r="C466" s="581">
        <v>0</v>
      </c>
      <c r="D466" s="581">
        <v>0</v>
      </c>
      <c r="E466" s="902"/>
      <c r="F466" s="648"/>
      <c r="G466" s="581">
        <v>0</v>
      </c>
      <c r="I466" s="639" t="e">
        <f>F466/C466</f>
        <v>#DIV/0!</v>
      </c>
      <c r="J466" s="567"/>
      <c r="K466" s="568"/>
    </row>
    <row r="467" spans="1:11" x14ac:dyDescent="0.25">
      <c r="A467" s="590"/>
      <c r="B467" s="583" t="s">
        <v>242</v>
      </c>
      <c r="C467" s="581">
        <f>SUM(C464:C466)</f>
        <v>15000</v>
      </c>
      <c r="D467" s="581">
        <f t="shared" ref="D467:H467" si="41">SUM(D464:D466)</f>
        <v>13464</v>
      </c>
      <c r="E467" s="956">
        <f>SUM(E464:E466)</f>
        <v>13500</v>
      </c>
      <c r="F467" s="683">
        <f t="shared" si="41"/>
        <v>0</v>
      </c>
      <c r="G467" s="566">
        <f>SUM(G464:G466)</f>
        <v>13500</v>
      </c>
      <c r="H467" s="581">
        <f t="shared" si="41"/>
        <v>0</v>
      </c>
      <c r="I467" s="639">
        <f>F467/C467</f>
        <v>0</v>
      </c>
      <c r="J467" s="567"/>
      <c r="K467" s="568"/>
    </row>
    <row r="469" spans="1:11" x14ac:dyDescent="0.25">
      <c r="A469" s="764" t="s">
        <v>254</v>
      </c>
      <c r="B469" s="688" t="s">
        <v>255</v>
      </c>
      <c r="C469" s="630">
        <v>2017</v>
      </c>
      <c r="D469" s="629" t="s">
        <v>1236</v>
      </c>
      <c r="E469" s="629">
        <v>2018</v>
      </c>
      <c r="F469" s="630" t="s">
        <v>1236</v>
      </c>
      <c r="G469" s="631" t="s">
        <v>4</v>
      </c>
      <c r="H469" s="631">
        <v>2019</v>
      </c>
      <c r="I469" s="627" t="s">
        <v>5</v>
      </c>
      <c r="J469" s="567"/>
      <c r="K469" s="568"/>
    </row>
    <row r="470" spans="1:11" x14ac:dyDescent="0.25">
      <c r="A470" s="576"/>
      <c r="B470" s="576"/>
      <c r="C470" s="630" t="s">
        <v>6</v>
      </c>
      <c r="D470" s="634">
        <v>43069</v>
      </c>
      <c r="E470" s="629" t="s">
        <v>6</v>
      </c>
      <c r="F470" s="634">
        <v>43131</v>
      </c>
      <c r="G470" s="635" t="s">
        <v>1131</v>
      </c>
      <c r="H470" s="635" t="s">
        <v>6</v>
      </c>
      <c r="I470" s="627" t="s">
        <v>92</v>
      </c>
      <c r="J470" s="567"/>
      <c r="K470" s="568"/>
    </row>
    <row r="471" spans="1:11" x14ac:dyDescent="0.25">
      <c r="A471" s="576"/>
      <c r="B471" s="576" t="s">
        <v>93</v>
      </c>
      <c r="C471" s="564"/>
      <c r="D471" s="581"/>
      <c r="E471" s="901"/>
      <c r="F471" s="564"/>
      <c r="G471" s="581"/>
      <c r="H471" s="581"/>
      <c r="I471" s="581"/>
      <c r="J471" s="567"/>
      <c r="K471" s="568"/>
    </row>
    <row r="472" spans="1:11" x14ac:dyDescent="0.25">
      <c r="A472" s="575">
        <v>59702</v>
      </c>
      <c r="B472" s="576" t="s">
        <v>256</v>
      </c>
      <c r="C472" s="581">
        <v>36750</v>
      </c>
      <c r="D472" s="581">
        <v>17335.650000000001</v>
      </c>
      <c r="E472" s="902"/>
      <c r="F472" s="648"/>
      <c r="G472" s="581"/>
      <c r="H472" s="648"/>
      <c r="I472" s="639">
        <f>F472/C472</f>
        <v>0</v>
      </c>
      <c r="J472" s="567"/>
      <c r="K472" s="568"/>
    </row>
    <row r="473" spans="1:11" s="702" customFormat="1" x14ac:dyDescent="0.25">
      <c r="A473" s="575"/>
      <c r="B473" s="583" t="s">
        <v>1159</v>
      </c>
      <c r="C473" s="581">
        <f>SUM(C472)</f>
        <v>36750</v>
      </c>
      <c r="D473" s="581">
        <f>SUM(D472)</f>
        <v>17335.650000000001</v>
      </c>
      <c r="E473" s="901">
        <f>SUM(E472)</f>
        <v>0</v>
      </c>
      <c r="F473" s="581">
        <f>SUM(F472)</f>
        <v>0</v>
      </c>
      <c r="G473" s="581">
        <f>SUM(G472)</f>
        <v>0</v>
      </c>
      <c r="H473" s="581"/>
      <c r="I473" s="581"/>
      <c r="J473" s="567"/>
      <c r="K473" s="691"/>
    </row>
    <row r="474" spans="1:11" x14ac:dyDescent="0.25">
      <c r="A474" s="687" t="s">
        <v>257</v>
      </c>
      <c r="B474" s="688" t="s">
        <v>258</v>
      </c>
      <c r="C474" s="630">
        <v>2017</v>
      </c>
      <c r="D474" s="629" t="s">
        <v>1236</v>
      </c>
      <c r="E474" s="629">
        <v>2018</v>
      </c>
      <c r="F474" s="630" t="s">
        <v>1236</v>
      </c>
      <c r="G474" s="631" t="s">
        <v>4</v>
      </c>
      <c r="H474" s="631">
        <v>2019</v>
      </c>
      <c r="I474" s="627" t="s">
        <v>5</v>
      </c>
      <c r="J474" s="567"/>
      <c r="K474" s="568"/>
    </row>
    <row r="475" spans="1:11" x14ac:dyDescent="0.25">
      <c r="A475" s="576"/>
      <c r="B475" s="576" t="s">
        <v>93</v>
      </c>
      <c r="C475" s="630" t="s">
        <v>6</v>
      </c>
      <c r="D475" s="634">
        <v>43069</v>
      </c>
      <c r="E475" s="631" t="s">
        <v>6</v>
      </c>
      <c r="F475" s="634">
        <v>43131</v>
      </c>
      <c r="G475" s="635" t="s">
        <v>1131</v>
      </c>
      <c r="H475" s="635" t="s">
        <v>6</v>
      </c>
      <c r="I475" s="627" t="s">
        <v>92</v>
      </c>
      <c r="J475" s="567"/>
      <c r="K475" s="568"/>
    </row>
    <row r="476" spans="1:11" x14ac:dyDescent="0.25">
      <c r="A476" s="590">
        <v>64760</v>
      </c>
      <c r="B476" s="581" t="s">
        <v>1142</v>
      </c>
      <c r="C476" s="581"/>
      <c r="D476" s="581">
        <v>0</v>
      </c>
      <c r="E476" s="581">
        <v>0.01</v>
      </c>
      <c r="F476" s="648"/>
      <c r="G476" s="581">
        <v>0</v>
      </c>
      <c r="H476" s="648"/>
      <c r="I476" s="639" t="e">
        <f t="shared" ref="I476:I485" si="42">F476/C476</f>
        <v>#DIV/0!</v>
      </c>
      <c r="J476" s="567"/>
      <c r="K476" s="568"/>
    </row>
    <row r="477" spans="1:11" x14ac:dyDescent="0.25">
      <c r="A477" s="590"/>
      <c r="B477" s="581" t="s">
        <v>1143</v>
      </c>
      <c r="C477" s="581"/>
      <c r="D477" s="581">
        <v>0</v>
      </c>
      <c r="E477" s="581">
        <v>0</v>
      </c>
      <c r="F477" s="648"/>
      <c r="G477" s="581">
        <v>0</v>
      </c>
      <c r="H477" s="648"/>
      <c r="I477" s="639" t="e">
        <f t="shared" si="42"/>
        <v>#DIV/0!</v>
      </c>
      <c r="J477" s="567"/>
      <c r="K477" s="568"/>
    </row>
    <row r="478" spans="1:11" x14ac:dyDescent="0.25">
      <c r="A478" s="590"/>
      <c r="B478" s="581" t="s">
        <v>1144</v>
      </c>
      <c r="C478" s="581"/>
      <c r="D478" s="581">
        <v>0</v>
      </c>
      <c r="E478" s="581">
        <v>0.01</v>
      </c>
      <c r="F478" s="648"/>
      <c r="G478" s="581">
        <v>0</v>
      </c>
      <c r="H478" s="648"/>
      <c r="I478" s="639" t="e">
        <f t="shared" si="42"/>
        <v>#DIV/0!</v>
      </c>
      <c r="J478" s="567"/>
      <c r="K478" s="568"/>
    </row>
    <row r="479" spans="1:11" x14ac:dyDescent="0.25">
      <c r="A479" s="590">
        <v>64761</v>
      </c>
      <c r="B479" s="581" t="s">
        <v>1216</v>
      </c>
      <c r="C479" s="581">
        <v>10000</v>
      </c>
      <c r="D479" s="581">
        <v>8964.81</v>
      </c>
      <c r="E479" s="581">
        <v>0</v>
      </c>
      <c r="F479" s="648"/>
      <c r="G479" s="581">
        <v>0</v>
      </c>
      <c r="H479" s="648"/>
      <c r="I479" s="639">
        <f t="shared" si="42"/>
        <v>0</v>
      </c>
      <c r="J479" s="567"/>
      <c r="K479" s="568"/>
    </row>
    <row r="480" spans="1:11" s="569" customFormat="1" x14ac:dyDescent="0.25">
      <c r="A480" s="590">
        <v>64764</v>
      </c>
      <c r="B480" s="581" t="s">
        <v>1058</v>
      </c>
      <c r="C480" s="581"/>
      <c r="D480" s="581">
        <v>0</v>
      </c>
      <c r="E480" s="581">
        <v>0</v>
      </c>
      <c r="F480" s="672"/>
      <c r="G480" s="581">
        <v>0</v>
      </c>
      <c r="H480" s="672"/>
      <c r="I480" s="639" t="e">
        <f t="shared" si="42"/>
        <v>#DIV/0!</v>
      </c>
      <c r="J480" s="567"/>
      <c r="K480" s="568"/>
    </row>
    <row r="481" spans="1:65" s="569" customFormat="1" x14ac:dyDescent="0.25">
      <c r="A481" s="590">
        <v>64765</v>
      </c>
      <c r="B481" s="581" t="s">
        <v>1059</v>
      </c>
      <c r="C481" s="581"/>
      <c r="D481" s="581">
        <v>16098</v>
      </c>
      <c r="E481" s="581">
        <v>0</v>
      </c>
      <c r="F481" s="672"/>
      <c r="G481" s="581">
        <v>0</v>
      </c>
      <c r="H481" s="672"/>
      <c r="I481" s="639" t="e">
        <f t="shared" si="42"/>
        <v>#DIV/0!</v>
      </c>
      <c r="J481" s="567"/>
      <c r="K481" s="568"/>
    </row>
    <row r="482" spans="1:65" s="569" customFormat="1" x14ac:dyDescent="0.25">
      <c r="A482" s="590">
        <v>64766</v>
      </c>
      <c r="B482" s="581" t="s">
        <v>1060</v>
      </c>
      <c r="C482" s="581"/>
      <c r="D482" s="581">
        <v>4944.3999999999996</v>
      </c>
      <c r="E482" s="581">
        <v>0</v>
      </c>
      <c r="F482" s="672"/>
      <c r="G482" s="581">
        <v>0</v>
      </c>
      <c r="H482" s="672"/>
      <c r="I482" s="639" t="e">
        <f t="shared" si="42"/>
        <v>#DIV/0!</v>
      </c>
      <c r="J482" s="567"/>
      <c r="K482" s="568"/>
    </row>
    <row r="483" spans="1:65" s="569" customFormat="1" x14ac:dyDescent="0.25">
      <c r="A483" s="590">
        <v>64767</v>
      </c>
      <c r="B483" s="581" t="s">
        <v>1243</v>
      </c>
      <c r="C483" s="581"/>
      <c r="D483" s="581">
        <v>10755</v>
      </c>
      <c r="E483" s="581"/>
      <c r="F483" s="672"/>
      <c r="G483" s="581"/>
      <c r="H483" s="672"/>
      <c r="I483" s="639"/>
      <c r="J483" s="567"/>
      <c r="K483" s="568"/>
    </row>
    <row r="484" spans="1:65" s="569" customFormat="1" x14ac:dyDescent="0.25">
      <c r="A484" s="590">
        <v>69999</v>
      </c>
      <c r="B484" s="581" t="s">
        <v>115</v>
      </c>
      <c r="C484" s="581"/>
      <c r="D484" s="581">
        <v>2798.46</v>
      </c>
      <c r="E484" s="581">
        <v>0</v>
      </c>
      <c r="F484" s="672"/>
      <c r="G484" s="581">
        <v>0</v>
      </c>
      <c r="H484" s="672"/>
      <c r="I484" s="639" t="e">
        <f t="shared" si="42"/>
        <v>#DIV/0!</v>
      </c>
      <c r="J484" s="567"/>
      <c r="K484" s="568"/>
    </row>
    <row r="485" spans="1:65" x14ac:dyDescent="0.25">
      <c r="A485" s="590"/>
      <c r="B485" s="587" t="s">
        <v>242</v>
      </c>
      <c r="C485" s="562">
        <f>SUM(C476:C484)</f>
        <v>10000</v>
      </c>
      <c r="D485" s="562">
        <f t="shared" ref="D485:H485" si="43">SUM(D476:D484)</f>
        <v>43560.67</v>
      </c>
      <c r="E485" s="562">
        <f>SUM(E476:E484)</f>
        <v>0.02</v>
      </c>
      <c r="F485" s="648">
        <f t="shared" si="43"/>
        <v>0</v>
      </c>
      <c r="G485" s="562">
        <f>SUM(G476:G484)</f>
        <v>0</v>
      </c>
      <c r="H485" s="648">
        <f t="shared" si="43"/>
        <v>0</v>
      </c>
      <c r="I485" s="639">
        <f t="shared" si="42"/>
        <v>0</v>
      </c>
      <c r="J485" s="567"/>
      <c r="K485" s="568"/>
      <c r="N485" s="569"/>
      <c r="O485" s="569"/>
      <c r="P485" s="569"/>
      <c r="Q485" s="569"/>
      <c r="R485" s="569"/>
      <c r="S485" s="569"/>
      <c r="T485" s="569"/>
      <c r="U485" s="569"/>
      <c r="V485" s="569"/>
      <c r="W485" s="569"/>
      <c r="X485" s="569"/>
      <c r="Y485" s="569"/>
      <c r="Z485" s="569"/>
      <c r="AA485" s="569"/>
      <c r="AB485" s="569"/>
      <c r="AC485" s="569"/>
      <c r="AD485" s="569"/>
      <c r="AE485" s="569"/>
      <c r="AF485" s="569"/>
      <c r="AG485" s="569"/>
      <c r="AH485" s="569"/>
      <c r="AI485" s="569"/>
      <c r="AJ485" s="569"/>
      <c r="AK485" s="569"/>
      <c r="AL485" s="569"/>
      <c r="AM485" s="569"/>
      <c r="AN485" s="569"/>
      <c r="AO485" s="569"/>
      <c r="AP485" s="569"/>
      <c r="AQ485" s="569"/>
      <c r="AR485" s="569"/>
      <c r="AS485" s="569"/>
      <c r="AT485" s="569"/>
      <c r="AU485" s="569"/>
      <c r="AV485" s="569"/>
      <c r="AW485" s="569"/>
      <c r="AX485" s="569"/>
      <c r="AY485" s="569"/>
      <c r="AZ485" s="569"/>
      <c r="BA485" s="569"/>
      <c r="BB485" s="569"/>
      <c r="BC485" s="569"/>
      <c r="BD485" s="569"/>
      <c r="BE485" s="569"/>
      <c r="BF485" s="569"/>
      <c r="BG485" s="569"/>
      <c r="BH485" s="569"/>
      <c r="BI485" s="569"/>
      <c r="BJ485" s="569"/>
      <c r="BK485" s="569"/>
      <c r="BL485" s="569"/>
      <c r="BM485" s="569"/>
    </row>
    <row r="486" spans="1:65" x14ac:dyDescent="0.25">
      <c r="A486" s="575"/>
      <c r="B486" s="583"/>
      <c r="C486" s="610"/>
      <c r="D486" s="593"/>
      <c r="E486" s="703"/>
      <c r="F486" s="564"/>
      <c r="G486" s="581"/>
      <c r="H486" s="581"/>
      <c r="I486" s="581"/>
      <c r="J486" s="567"/>
      <c r="K486" s="568"/>
      <c r="N486" s="569"/>
      <c r="O486" s="569"/>
      <c r="P486" s="569"/>
      <c r="Q486" s="569"/>
      <c r="R486" s="569"/>
      <c r="S486" s="569"/>
      <c r="T486" s="569"/>
      <c r="U486" s="569"/>
      <c r="V486" s="569"/>
      <c r="W486" s="569"/>
      <c r="X486" s="569"/>
      <c r="Y486" s="569"/>
      <c r="Z486" s="569"/>
      <c r="AA486" s="569"/>
      <c r="AB486" s="569"/>
      <c r="AC486" s="569"/>
      <c r="AD486" s="569"/>
      <c r="AE486" s="569"/>
      <c r="AF486" s="569"/>
      <c r="AG486" s="569"/>
      <c r="AH486" s="569"/>
      <c r="AI486" s="569"/>
      <c r="AJ486" s="569"/>
      <c r="AK486" s="569"/>
      <c r="AL486" s="569"/>
      <c r="AM486" s="569"/>
      <c r="AN486" s="569"/>
      <c r="AO486" s="569"/>
      <c r="AP486" s="569"/>
      <c r="AQ486" s="569"/>
      <c r="AR486" s="569"/>
      <c r="AS486" s="569"/>
      <c r="AT486" s="569"/>
      <c r="AU486" s="569"/>
      <c r="AV486" s="569"/>
      <c r="AW486" s="569"/>
      <c r="AX486" s="569"/>
      <c r="AY486" s="569"/>
      <c r="AZ486" s="569"/>
      <c r="BA486" s="569"/>
      <c r="BB486" s="569"/>
      <c r="BC486" s="569"/>
      <c r="BD486" s="569"/>
      <c r="BE486" s="569"/>
      <c r="BF486" s="569"/>
      <c r="BG486" s="569"/>
      <c r="BH486" s="569"/>
      <c r="BI486" s="569"/>
      <c r="BJ486" s="569"/>
      <c r="BK486" s="569"/>
      <c r="BL486" s="569"/>
      <c r="BM486" s="569"/>
    </row>
    <row r="487" spans="1:65" x14ac:dyDescent="0.25">
      <c r="A487" s="764" t="s">
        <v>259</v>
      </c>
      <c r="B487" s="688" t="s">
        <v>260</v>
      </c>
      <c r="C487" s="630">
        <v>2017</v>
      </c>
      <c r="D487" s="629" t="s">
        <v>1236</v>
      </c>
      <c r="E487" s="629">
        <v>2018</v>
      </c>
      <c r="F487" s="630" t="s">
        <v>1236</v>
      </c>
      <c r="G487" s="631" t="s">
        <v>4</v>
      </c>
      <c r="H487" s="631">
        <v>2019</v>
      </c>
      <c r="I487" s="627" t="s">
        <v>5</v>
      </c>
      <c r="J487" s="567"/>
      <c r="K487" s="568"/>
      <c r="N487" s="569"/>
      <c r="O487" s="569"/>
      <c r="P487" s="569"/>
      <c r="Q487" s="569"/>
      <c r="R487" s="569"/>
      <c r="S487" s="569"/>
      <c r="T487" s="569"/>
      <c r="U487" s="569"/>
      <c r="V487" s="569"/>
      <c r="W487" s="569"/>
      <c r="X487" s="569"/>
      <c r="Y487" s="569"/>
      <c r="Z487" s="569"/>
      <c r="AA487" s="569"/>
      <c r="AB487" s="569"/>
      <c r="AC487" s="569"/>
      <c r="AD487" s="569"/>
      <c r="AE487" s="569"/>
      <c r="AF487" s="569"/>
      <c r="AG487" s="569"/>
      <c r="AH487" s="569"/>
      <c r="AI487" s="569"/>
      <c r="AJ487" s="569"/>
      <c r="AK487" s="569"/>
      <c r="AL487" s="569"/>
      <c r="AM487" s="569"/>
      <c r="AN487" s="569"/>
      <c r="AO487" s="569"/>
      <c r="AP487" s="569"/>
      <c r="AQ487" s="569"/>
      <c r="AR487" s="569"/>
      <c r="AS487" s="569"/>
      <c r="AT487" s="569"/>
      <c r="AU487" s="569"/>
      <c r="AV487" s="569"/>
      <c r="AW487" s="569"/>
      <c r="AX487" s="569"/>
      <c r="AY487" s="569"/>
      <c r="AZ487" s="569"/>
      <c r="BA487" s="569"/>
      <c r="BB487" s="569"/>
      <c r="BC487" s="569"/>
      <c r="BD487" s="569"/>
      <c r="BE487" s="569"/>
      <c r="BF487" s="569"/>
      <c r="BG487" s="569"/>
      <c r="BH487" s="569"/>
      <c r="BI487" s="569"/>
      <c r="BJ487" s="569"/>
      <c r="BK487" s="569"/>
      <c r="BL487" s="569"/>
      <c r="BM487" s="569"/>
    </row>
    <row r="488" spans="1:65" x14ac:dyDescent="0.25">
      <c r="A488" s="575"/>
      <c r="B488" s="576" t="s">
        <v>93</v>
      </c>
      <c r="C488" s="630" t="s">
        <v>6</v>
      </c>
      <c r="D488" s="634">
        <v>43069</v>
      </c>
      <c r="E488" s="631" t="s">
        <v>6</v>
      </c>
      <c r="F488" s="634">
        <v>43131</v>
      </c>
      <c r="G488" s="635" t="s">
        <v>1131</v>
      </c>
      <c r="H488" s="635" t="s">
        <v>6</v>
      </c>
      <c r="I488" s="627" t="s">
        <v>92</v>
      </c>
      <c r="J488" s="567"/>
      <c r="K488" s="568"/>
      <c r="N488" s="569"/>
      <c r="O488" s="569"/>
      <c r="P488" s="569"/>
      <c r="Q488" s="569"/>
      <c r="R488" s="569"/>
      <c r="S488" s="569"/>
      <c r="T488" s="569"/>
      <c r="U488" s="569"/>
      <c r="V488" s="569"/>
      <c r="W488" s="569"/>
      <c r="X488" s="569"/>
      <c r="Y488" s="569"/>
      <c r="Z488" s="569"/>
      <c r="AA488" s="569"/>
      <c r="AB488" s="569"/>
      <c r="AC488" s="569"/>
      <c r="AD488" s="569"/>
      <c r="AE488" s="569"/>
      <c r="AF488" s="569"/>
      <c r="AG488" s="569"/>
      <c r="AH488" s="569"/>
      <c r="AI488" s="569"/>
      <c r="AJ488" s="569"/>
      <c r="AK488" s="569"/>
      <c r="AL488" s="569"/>
      <c r="AM488" s="569"/>
      <c r="AN488" s="569"/>
      <c r="AO488" s="569"/>
      <c r="AP488" s="569"/>
      <c r="AQ488" s="569"/>
      <c r="AR488" s="569"/>
      <c r="AS488" s="569"/>
      <c r="AT488" s="569"/>
      <c r="AU488" s="569"/>
      <c r="AV488" s="569"/>
      <c r="AW488" s="569"/>
      <c r="AX488" s="569"/>
      <c r="AY488" s="569"/>
      <c r="AZ488" s="569"/>
      <c r="BA488" s="569"/>
      <c r="BB488" s="569"/>
      <c r="BC488" s="569"/>
      <c r="BD488" s="569"/>
      <c r="BE488" s="569"/>
      <c r="BF488" s="569"/>
      <c r="BG488" s="569"/>
      <c r="BH488" s="569"/>
      <c r="BI488" s="569"/>
      <c r="BJ488" s="569"/>
      <c r="BK488" s="569"/>
      <c r="BL488" s="569"/>
      <c r="BM488" s="569"/>
    </row>
    <row r="489" spans="1:65" x14ac:dyDescent="0.25">
      <c r="A489" s="575">
        <v>63000</v>
      </c>
      <c r="B489" s="576" t="s">
        <v>142</v>
      </c>
      <c r="C489" s="581">
        <v>0</v>
      </c>
      <c r="D489" s="564">
        <v>0</v>
      </c>
      <c r="E489" s="674">
        <v>0.01</v>
      </c>
      <c r="F489" s="648"/>
      <c r="G489" s="581">
        <v>0</v>
      </c>
      <c r="H489" s="641">
        <v>0</v>
      </c>
      <c r="I489" s="639" t="e">
        <f>F489/C489</f>
        <v>#DIV/0!</v>
      </c>
      <c r="J489" s="697"/>
      <c r="K489" s="621"/>
      <c r="N489" s="569"/>
      <c r="O489" s="569"/>
      <c r="P489" s="569"/>
      <c r="Q489" s="569"/>
      <c r="R489" s="569"/>
      <c r="S489" s="569"/>
      <c r="T489" s="569"/>
      <c r="U489" s="569"/>
      <c r="V489" s="569"/>
      <c r="W489" s="569"/>
      <c r="X489" s="569"/>
      <c r="Y489" s="569"/>
      <c r="Z489" s="569"/>
      <c r="AA489" s="569"/>
      <c r="AB489" s="569"/>
      <c r="AC489" s="569"/>
      <c r="AD489" s="569"/>
      <c r="AE489" s="569"/>
      <c r="AF489" s="569"/>
      <c r="AG489" s="569"/>
      <c r="AH489" s="569"/>
      <c r="AI489" s="569"/>
      <c r="AJ489" s="569"/>
      <c r="AK489" s="569"/>
      <c r="AL489" s="569"/>
      <c r="AM489" s="569"/>
      <c r="AN489" s="569"/>
      <c r="AO489" s="569"/>
      <c r="AP489" s="569"/>
      <c r="AQ489" s="569"/>
      <c r="AR489" s="569"/>
      <c r="AS489" s="569"/>
      <c r="AT489" s="569"/>
      <c r="AU489" s="569"/>
      <c r="AV489" s="569"/>
      <c r="AW489" s="569"/>
      <c r="AX489" s="569"/>
      <c r="AY489" s="569"/>
      <c r="AZ489" s="569"/>
      <c r="BA489" s="569"/>
      <c r="BB489" s="569"/>
      <c r="BC489" s="569"/>
      <c r="BD489" s="569"/>
      <c r="BE489" s="569"/>
      <c r="BF489" s="569"/>
      <c r="BG489" s="569"/>
      <c r="BH489" s="569"/>
      <c r="BI489" s="569"/>
      <c r="BJ489" s="569"/>
      <c r="BK489" s="569"/>
      <c r="BL489" s="569"/>
      <c r="BM489" s="569"/>
    </row>
    <row r="490" spans="1:65" x14ac:dyDescent="0.25">
      <c r="A490" s="575">
        <v>69010</v>
      </c>
      <c r="B490" s="576" t="s">
        <v>261</v>
      </c>
      <c r="C490" s="581"/>
      <c r="D490" s="581">
        <v>15877.1</v>
      </c>
      <c r="E490" s="610">
        <v>0</v>
      </c>
      <c r="F490" s="648"/>
      <c r="G490" s="581">
        <v>0</v>
      </c>
      <c r="H490" s="641">
        <v>0</v>
      </c>
      <c r="I490" s="639" t="e">
        <f>F490/C490</f>
        <v>#DIV/0!</v>
      </c>
      <c r="J490" s="567"/>
      <c r="K490" s="568"/>
    </row>
    <row r="491" spans="1:65" x14ac:dyDescent="0.25">
      <c r="A491" s="575"/>
      <c r="B491" s="576" t="s">
        <v>262</v>
      </c>
      <c r="C491" s="581"/>
      <c r="D491" s="581">
        <v>0</v>
      </c>
      <c r="E491" s="610">
        <v>0</v>
      </c>
      <c r="F491" s="648"/>
      <c r="G491" s="581">
        <v>0</v>
      </c>
      <c r="H491" s="641">
        <v>0</v>
      </c>
      <c r="I491" s="639" t="e">
        <f>F491/C491</f>
        <v>#DIV/0!</v>
      </c>
      <c r="J491" s="567"/>
      <c r="K491" s="568"/>
    </row>
    <row r="492" spans="1:65" x14ac:dyDescent="0.25">
      <c r="A492" s="598"/>
      <c r="B492" s="583" t="s">
        <v>242</v>
      </c>
      <c r="C492" s="562">
        <f>SUM(C489:C491)</f>
        <v>0</v>
      </c>
      <c r="D492" s="562">
        <f>SUM(D489:D491)</f>
        <v>15877.1</v>
      </c>
      <c r="E492" s="610">
        <f>SUM(E489:E491)</f>
        <v>0.01</v>
      </c>
      <c r="F492" s="648">
        <f>SUM(F489:F491)</f>
        <v>0</v>
      </c>
      <c r="G492" s="562">
        <f>SUM(G489:G491)</f>
        <v>0</v>
      </c>
      <c r="H492" s="562">
        <v>0</v>
      </c>
      <c r="I492" s="639" t="e">
        <f>F492/C492</f>
        <v>#DIV/0!</v>
      </c>
      <c r="J492" s="699"/>
      <c r="K492" s="700"/>
    </row>
    <row r="493" spans="1:65" x14ac:dyDescent="0.25">
      <c r="A493" s="575"/>
      <c r="B493" s="583"/>
      <c r="C493" s="610"/>
      <c r="D493" s="593"/>
      <c r="E493" s="703"/>
      <c r="F493" s="564"/>
      <c r="G493" s="581"/>
      <c r="H493" s="581"/>
      <c r="I493" s="581"/>
      <c r="J493" s="567"/>
      <c r="K493" s="568"/>
    </row>
    <row r="494" spans="1:65" s="569" customFormat="1" x14ac:dyDescent="0.25">
      <c r="A494" s="764" t="s">
        <v>1076</v>
      </c>
      <c r="B494" s="688" t="s">
        <v>1075</v>
      </c>
      <c r="C494" s="677">
        <v>2017</v>
      </c>
      <c r="D494" s="765" t="s">
        <v>1236</v>
      </c>
      <c r="E494" s="765">
        <v>2018</v>
      </c>
      <c r="F494" s="677" t="s">
        <v>1236</v>
      </c>
      <c r="G494" s="765" t="s">
        <v>4</v>
      </c>
      <c r="H494" s="765">
        <v>2019</v>
      </c>
      <c r="I494" s="766" t="s">
        <v>5</v>
      </c>
      <c r="J494" s="567"/>
      <c r="K494" s="568"/>
    </row>
    <row r="495" spans="1:65" x14ac:dyDescent="0.25">
      <c r="A495" s="575"/>
      <c r="B495" s="576" t="s">
        <v>93</v>
      </c>
      <c r="C495" s="630" t="s">
        <v>6</v>
      </c>
      <c r="D495" s="634">
        <v>43069</v>
      </c>
      <c r="E495" s="631" t="s">
        <v>6</v>
      </c>
      <c r="F495" s="634">
        <v>43131</v>
      </c>
      <c r="G495" s="635" t="s">
        <v>1131</v>
      </c>
      <c r="H495" s="635" t="s">
        <v>6</v>
      </c>
      <c r="I495" s="627" t="s">
        <v>92</v>
      </c>
      <c r="J495" s="567"/>
      <c r="K495" s="568"/>
    </row>
    <row r="496" spans="1:65" x14ac:dyDescent="0.25">
      <c r="A496" s="575">
        <v>63000</v>
      </c>
      <c r="B496" s="576" t="s">
        <v>142</v>
      </c>
      <c r="C496" s="581">
        <v>0</v>
      </c>
      <c r="D496" s="581">
        <v>225040.54</v>
      </c>
      <c r="E496" s="563">
        <v>0.01</v>
      </c>
      <c r="F496" s="648"/>
      <c r="G496" s="581">
        <v>0</v>
      </c>
      <c r="H496" s="641">
        <v>0</v>
      </c>
      <c r="I496" s="639" t="e">
        <f>F496/C496</f>
        <v>#DIV/0!</v>
      </c>
      <c r="J496" s="697"/>
      <c r="K496" s="621"/>
    </row>
    <row r="497" spans="1:11" x14ac:dyDescent="0.25">
      <c r="A497" s="575">
        <v>69010</v>
      </c>
      <c r="B497" s="576" t="s">
        <v>156</v>
      </c>
      <c r="C497" s="581"/>
      <c r="D497" s="581">
        <v>2406.54</v>
      </c>
      <c r="E497" s="562">
        <v>0</v>
      </c>
      <c r="F497" s="648"/>
      <c r="G497" s="581">
        <v>0</v>
      </c>
      <c r="H497" s="641">
        <v>0</v>
      </c>
      <c r="I497" s="639" t="e">
        <f>F497/C497</f>
        <v>#DIV/0!</v>
      </c>
      <c r="J497" s="567"/>
      <c r="K497" s="568"/>
    </row>
    <row r="498" spans="1:11" x14ac:dyDescent="0.25">
      <c r="A498" s="575"/>
      <c r="B498" s="576" t="s">
        <v>262</v>
      </c>
      <c r="C498" s="581"/>
      <c r="D498" s="581">
        <v>0</v>
      </c>
      <c r="E498" s="562">
        <v>0</v>
      </c>
      <c r="F498" s="648"/>
      <c r="G498" s="581">
        <v>0</v>
      </c>
      <c r="H498" s="641">
        <v>0</v>
      </c>
      <c r="I498" s="639" t="e">
        <f>F498/C498</f>
        <v>#DIV/0!</v>
      </c>
      <c r="J498" s="567"/>
      <c r="K498" s="568"/>
    </row>
    <row r="499" spans="1:11" x14ac:dyDescent="0.25">
      <c r="A499" s="598"/>
      <c r="B499" s="583" t="s">
        <v>242</v>
      </c>
      <c r="C499" s="584">
        <f>SUM(C496:C498)</f>
        <v>0</v>
      </c>
      <c r="D499" s="584">
        <f t="shared" ref="D499:H499" si="44">SUM(D496:D498)</f>
        <v>227447.08000000002</v>
      </c>
      <c r="E499" s="562">
        <f>SUM(E496:E498)</f>
        <v>0.01</v>
      </c>
      <c r="F499" s="648">
        <f t="shared" si="44"/>
        <v>0</v>
      </c>
      <c r="G499" s="584">
        <f>SUM(G496:G498)</f>
        <v>0</v>
      </c>
      <c r="H499" s="584">
        <f t="shared" si="44"/>
        <v>0</v>
      </c>
      <c r="I499" s="639" t="e">
        <f>F499/C499</f>
        <v>#DIV/0!</v>
      </c>
      <c r="J499" s="699"/>
      <c r="K499" s="700"/>
    </row>
    <row r="500" spans="1:11" x14ac:dyDescent="0.25">
      <c r="A500" s="575"/>
      <c r="B500" s="583"/>
      <c r="C500" s="610"/>
      <c r="D500" s="593"/>
      <c r="E500" s="703"/>
      <c r="F500" s="564"/>
      <c r="G500" s="581"/>
      <c r="H500" s="581"/>
      <c r="I500" s="581"/>
      <c r="J500" s="567"/>
      <c r="K500" s="568"/>
    </row>
    <row r="501" spans="1:11" x14ac:dyDescent="0.25">
      <c r="A501" s="687" t="s">
        <v>263</v>
      </c>
      <c r="B501" s="688" t="s">
        <v>264</v>
      </c>
      <c r="C501" s="630">
        <v>2017</v>
      </c>
      <c r="D501" s="629" t="s">
        <v>1236</v>
      </c>
      <c r="E501" s="629">
        <v>2018</v>
      </c>
      <c r="F501" s="630" t="s">
        <v>1236</v>
      </c>
      <c r="G501" s="631" t="s">
        <v>4</v>
      </c>
      <c r="H501" s="631">
        <v>2019</v>
      </c>
      <c r="I501" s="627" t="s">
        <v>5</v>
      </c>
      <c r="J501" s="567"/>
      <c r="K501" s="568"/>
    </row>
    <row r="502" spans="1:11" x14ac:dyDescent="0.25">
      <c r="A502" s="560"/>
      <c r="B502" s="576" t="s">
        <v>93</v>
      </c>
      <c r="C502" s="630" t="s">
        <v>6</v>
      </c>
      <c r="D502" s="634">
        <v>43069</v>
      </c>
      <c r="E502" s="631" t="s">
        <v>6</v>
      </c>
      <c r="F502" s="634">
        <v>43131</v>
      </c>
      <c r="G502" s="635" t="s">
        <v>1131</v>
      </c>
      <c r="H502" s="635" t="s">
        <v>6</v>
      </c>
      <c r="I502" s="627" t="s">
        <v>92</v>
      </c>
      <c r="J502" s="567"/>
      <c r="K502" s="568"/>
    </row>
    <row r="503" spans="1:11" x14ac:dyDescent="0.25">
      <c r="A503" s="575">
        <v>54110</v>
      </c>
      <c r="B503" s="576" t="s">
        <v>319</v>
      </c>
      <c r="C503" s="562"/>
      <c r="D503" s="610"/>
      <c r="E503" s="610"/>
      <c r="F503" s="641"/>
      <c r="G503" s="562"/>
      <c r="H503" s="562"/>
      <c r="I503" s="639" t="e">
        <f t="shared" ref="I503:I511" si="45">F503/C503</f>
        <v>#DIV/0!</v>
      </c>
      <c r="J503" s="567"/>
      <c r="K503" s="568"/>
    </row>
    <row r="504" spans="1:11" x14ac:dyDescent="0.25">
      <c r="A504" s="590">
        <v>60000</v>
      </c>
      <c r="B504" s="576" t="s">
        <v>1145</v>
      </c>
      <c r="C504" s="562"/>
      <c r="D504" s="610"/>
      <c r="E504" s="610"/>
      <c r="F504" s="641"/>
      <c r="G504" s="562"/>
      <c r="H504" s="562"/>
      <c r="I504" s="639" t="e">
        <f t="shared" si="45"/>
        <v>#DIV/0!</v>
      </c>
      <c r="J504" s="567"/>
      <c r="K504" s="568"/>
    </row>
    <row r="505" spans="1:11" x14ac:dyDescent="0.25">
      <c r="A505" s="590">
        <v>61200</v>
      </c>
      <c r="B505" s="576" t="s">
        <v>1146</v>
      </c>
      <c r="C505" s="562"/>
      <c r="D505" s="610"/>
      <c r="E505" s="610"/>
      <c r="F505" s="641"/>
      <c r="G505" s="562"/>
      <c r="H505" s="562"/>
      <c r="I505" s="639" t="e">
        <f t="shared" si="45"/>
        <v>#DIV/0!</v>
      </c>
      <c r="J505" s="567"/>
      <c r="K505" s="568"/>
    </row>
    <row r="506" spans="1:11" x14ac:dyDescent="0.25">
      <c r="A506" s="590">
        <v>62310</v>
      </c>
      <c r="B506" s="576" t="s">
        <v>108</v>
      </c>
      <c r="C506" s="562"/>
      <c r="D506" s="610"/>
      <c r="E506" s="610"/>
      <c r="F506" s="641"/>
      <c r="G506" s="562"/>
      <c r="H506" s="562"/>
      <c r="I506" s="639" t="e">
        <f t="shared" si="45"/>
        <v>#DIV/0!</v>
      </c>
      <c r="J506" s="567"/>
      <c r="K506" s="568"/>
    </row>
    <row r="507" spans="1:11" x14ac:dyDescent="0.25">
      <c r="A507" s="590">
        <v>62500</v>
      </c>
      <c r="B507" s="576" t="s">
        <v>1147</v>
      </c>
      <c r="C507" s="581"/>
      <c r="D507" s="564"/>
      <c r="E507" s="610"/>
      <c r="F507" s="641"/>
      <c r="G507" s="581"/>
      <c r="H507" s="581"/>
      <c r="I507" s="639" t="e">
        <f t="shared" si="45"/>
        <v>#DIV/0!</v>
      </c>
      <c r="J507" s="685"/>
      <c r="K507" s="568"/>
    </row>
    <row r="508" spans="1:11" x14ac:dyDescent="0.25">
      <c r="A508" s="590">
        <v>63000</v>
      </c>
      <c r="B508" s="576" t="s">
        <v>142</v>
      </c>
      <c r="C508" s="581"/>
      <c r="D508" s="564"/>
      <c r="E508" s="610"/>
      <c r="F508" s="641"/>
      <c r="G508" s="581"/>
      <c r="H508" s="581"/>
      <c r="I508" s="639" t="e">
        <f t="shared" si="45"/>
        <v>#DIV/0!</v>
      </c>
      <c r="J508" s="655"/>
      <c r="K508" s="568"/>
    </row>
    <row r="509" spans="1:11" x14ac:dyDescent="0.25">
      <c r="A509" s="590">
        <v>65500</v>
      </c>
      <c r="B509" s="576" t="s">
        <v>684</v>
      </c>
      <c r="C509" s="581"/>
      <c r="D509" s="564"/>
      <c r="E509" s="610"/>
      <c r="F509" s="641"/>
      <c r="G509" s="581"/>
      <c r="H509" s="581"/>
      <c r="I509" s="639" t="e">
        <f t="shared" si="45"/>
        <v>#DIV/0!</v>
      </c>
      <c r="J509" s="567"/>
      <c r="K509" s="568"/>
    </row>
    <row r="510" spans="1:11" x14ac:dyDescent="0.25">
      <c r="A510" s="590">
        <v>69010</v>
      </c>
      <c r="B510" s="576" t="s">
        <v>156</v>
      </c>
      <c r="C510" s="581"/>
      <c r="D510" s="564"/>
      <c r="E510" s="610"/>
      <c r="F510" s="641"/>
      <c r="G510" s="581"/>
      <c r="H510" s="581"/>
      <c r="I510" s="639" t="e">
        <f t="shared" si="45"/>
        <v>#DIV/0!</v>
      </c>
      <c r="J510" s="567"/>
      <c r="K510" s="568"/>
    </row>
    <row r="511" spans="1:11" x14ac:dyDescent="0.25">
      <c r="A511" s="590"/>
      <c r="B511" s="583" t="s">
        <v>242</v>
      </c>
      <c r="C511" s="584"/>
      <c r="D511" s="585"/>
      <c r="E511" s="585"/>
      <c r="F511" s="701"/>
      <c r="G511" s="584"/>
      <c r="H511" s="584"/>
      <c r="I511" s="639" t="e">
        <f t="shared" si="45"/>
        <v>#DIV/0!</v>
      </c>
      <c r="J511" s="704"/>
      <c r="K511" s="705"/>
    </row>
    <row r="512" spans="1:11" s="569" customFormat="1" x14ac:dyDescent="0.25">
      <c r="A512" s="590"/>
      <c r="B512" s="583"/>
      <c r="C512" s="564"/>
      <c r="D512" s="581"/>
      <c r="E512" s="703"/>
      <c r="F512" s="564"/>
      <c r="G512" s="581"/>
      <c r="H512" s="581"/>
      <c r="I512" s="581"/>
      <c r="J512" s="567"/>
      <c r="K512" s="568"/>
    </row>
    <row r="513" spans="1:11" x14ac:dyDescent="0.25">
      <c r="A513" s="687" t="s">
        <v>267</v>
      </c>
      <c r="B513" s="688" t="s">
        <v>268</v>
      </c>
      <c r="C513" s="630">
        <v>2017</v>
      </c>
      <c r="D513" s="629" t="s">
        <v>1236</v>
      </c>
      <c r="E513" s="629">
        <v>2018</v>
      </c>
      <c r="F513" s="630" t="s">
        <v>1236</v>
      </c>
      <c r="G513" s="631" t="s">
        <v>4</v>
      </c>
      <c r="H513" s="631">
        <v>2019</v>
      </c>
      <c r="I513" s="627" t="s">
        <v>5</v>
      </c>
      <c r="J513" s="567"/>
      <c r="K513" s="568"/>
    </row>
    <row r="514" spans="1:11" x14ac:dyDescent="0.25">
      <c r="A514" s="560"/>
      <c r="B514" s="576" t="s">
        <v>93</v>
      </c>
      <c r="C514" s="630" t="s">
        <v>6</v>
      </c>
      <c r="D514" s="634">
        <v>43069</v>
      </c>
      <c r="E514" s="631" t="s">
        <v>6</v>
      </c>
      <c r="F514" s="634">
        <v>43131</v>
      </c>
      <c r="G514" s="635" t="s">
        <v>1131</v>
      </c>
      <c r="H514" s="635" t="s">
        <v>6</v>
      </c>
      <c r="I514" s="627" t="s">
        <v>92</v>
      </c>
      <c r="J514" s="567"/>
      <c r="K514" s="568"/>
    </row>
    <row r="515" spans="1:11" x14ac:dyDescent="0.25">
      <c r="A515" s="575">
        <v>54110</v>
      </c>
      <c r="B515" s="576" t="s">
        <v>319</v>
      </c>
      <c r="C515" s="581"/>
      <c r="D515" s="564"/>
      <c r="E515" s="564"/>
      <c r="F515" s="641"/>
      <c r="G515" s="581"/>
      <c r="H515" s="581"/>
      <c r="I515" s="639" t="e">
        <f t="shared" ref="I515:I522" si="46">F515/C515</f>
        <v>#DIV/0!</v>
      </c>
      <c r="J515" s="567"/>
      <c r="K515" s="568"/>
    </row>
    <row r="516" spans="1:11" x14ac:dyDescent="0.25">
      <c r="A516" s="590">
        <v>60000</v>
      </c>
      <c r="B516" s="576" t="s">
        <v>1145</v>
      </c>
      <c r="C516" s="581"/>
      <c r="D516" s="564"/>
      <c r="E516" s="564"/>
      <c r="F516" s="641"/>
      <c r="G516" s="581"/>
      <c r="H516" s="581"/>
      <c r="I516" s="639" t="e">
        <f t="shared" si="46"/>
        <v>#DIV/0!</v>
      </c>
      <c r="J516" s="567"/>
      <c r="K516" s="568"/>
    </row>
    <row r="517" spans="1:11" x14ac:dyDescent="0.25">
      <c r="A517" s="590">
        <v>62310</v>
      </c>
      <c r="B517" s="576" t="s">
        <v>108</v>
      </c>
      <c r="C517" s="581"/>
      <c r="D517" s="564"/>
      <c r="E517" s="564"/>
      <c r="F517" s="641"/>
      <c r="G517" s="581"/>
      <c r="H517" s="581"/>
      <c r="I517" s="639" t="e">
        <f t="shared" si="46"/>
        <v>#DIV/0!</v>
      </c>
      <c r="J517" s="567"/>
      <c r="K517" s="568"/>
    </row>
    <row r="518" spans="1:11" x14ac:dyDescent="0.25">
      <c r="A518" s="590">
        <v>62500</v>
      </c>
      <c r="B518" s="576" t="s">
        <v>1147</v>
      </c>
      <c r="C518" s="581"/>
      <c r="D518" s="564"/>
      <c r="E518" s="564"/>
      <c r="F518" s="641"/>
      <c r="G518" s="581"/>
      <c r="H518" s="581"/>
      <c r="I518" s="639" t="e">
        <f t="shared" si="46"/>
        <v>#DIV/0!</v>
      </c>
      <c r="J518" s="567"/>
      <c r="K518" s="568"/>
    </row>
    <row r="519" spans="1:11" x14ac:dyDescent="0.25">
      <c r="A519" s="590">
        <v>63000</v>
      </c>
      <c r="B519" s="576" t="s">
        <v>142</v>
      </c>
      <c r="C519" s="581"/>
      <c r="D519" s="564"/>
      <c r="E519" s="564"/>
      <c r="F519" s="641"/>
      <c r="G519" s="581"/>
      <c r="H519" s="581"/>
      <c r="I519" s="639" t="e">
        <f t="shared" si="46"/>
        <v>#DIV/0!</v>
      </c>
      <c r="J519" s="567"/>
      <c r="K519" s="568"/>
    </row>
    <row r="520" spans="1:11" x14ac:dyDescent="0.25">
      <c r="A520" s="590">
        <v>65500</v>
      </c>
      <c r="B520" s="576" t="s">
        <v>684</v>
      </c>
      <c r="C520" s="581"/>
      <c r="D520" s="564"/>
      <c r="E520" s="564"/>
      <c r="F520" s="641"/>
      <c r="G520" s="581"/>
      <c r="H520" s="581"/>
      <c r="I520" s="639" t="e">
        <f t="shared" si="46"/>
        <v>#DIV/0!</v>
      </c>
      <c r="J520" s="567"/>
      <c r="K520" s="568"/>
    </row>
    <row r="521" spans="1:11" x14ac:dyDescent="0.25">
      <c r="A521" s="590">
        <v>69010</v>
      </c>
      <c r="B521" s="576" t="s">
        <v>156</v>
      </c>
      <c r="C521" s="581"/>
      <c r="D521" s="564"/>
      <c r="E521" s="564"/>
      <c r="F521" s="641"/>
      <c r="G521" s="581"/>
      <c r="H521" s="581"/>
      <c r="I521" s="639" t="e">
        <f t="shared" si="46"/>
        <v>#DIV/0!</v>
      </c>
      <c r="J521" s="567"/>
      <c r="K521" s="568"/>
    </row>
    <row r="522" spans="1:11" x14ac:dyDescent="0.25">
      <c r="A522" s="590"/>
      <c r="B522" s="583" t="s">
        <v>242</v>
      </c>
      <c r="C522" s="584"/>
      <c r="D522" s="585"/>
      <c r="E522" s="585"/>
      <c r="F522" s="641"/>
      <c r="G522" s="584"/>
      <c r="H522" s="584"/>
      <c r="I522" s="639" t="e">
        <f t="shared" si="46"/>
        <v>#DIV/0!</v>
      </c>
      <c r="J522" s="567"/>
      <c r="K522" s="568"/>
    </row>
    <row r="523" spans="1:11" x14ac:dyDescent="0.25">
      <c r="A523" s="590"/>
      <c r="B523" s="583"/>
      <c r="C523" s="564"/>
      <c r="D523" s="587"/>
      <c r="E523" s="587"/>
      <c r="F523" s="564"/>
      <c r="G523" s="581"/>
      <c r="H523" s="581"/>
      <c r="I523" s="581"/>
      <c r="J523" s="567"/>
      <c r="K523" s="568"/>
    </row>
    <row r="524" spans="1:11" x14ac:dyDescent="0.25">
      <c r="A524" s="687" t="s">
        <v>269</v>
      </c>
      <c r="B524" s="688" t="s">
        <v>270</v>
      </c>
      <c r="C524" s="630">
        <v>2017</v>
      </c>
      <c r="D524" s="629" t="s">
        <v>1236</v>
      </c>
      <c r="E524" s="629">
        <v>2018</v>
      </c>
      <c r="F524" s="630" t="s">
        <v>1236</v>
      </c>
      <c r="G524" s="631" t="s">
        <v>4</v>
      </c>
      <c r="H524" s="631">
        <v>2019</v>
      </c>
      <c r="I524" s="627" t="s">
        <v>5</v>
      </c>
      <c r="J524" s="567"/>
      <c r="K524" s="568"/>
    </row>
    <row r="525" spans="1:11" x14ac:dyDescent="0.25">
      <c r="A525" s="560"/>
      <c r="B525" s="561" t="s">
        <v>93</v>
      </c>
      <c r="C525" s="630" t="s">
        <v>6</v>
      </c>
      <c r="D525" s="634">
        <v>43069</v>
      </c>
      <c r="E525" s="631" t="s">
        <v>6</v>
      </c>
      <c r="F525" s="634">
        <v>43131</v>
      </c>
      <c r="G525" s="635" t="s">
        <v>1131</v>
      </c>
      <c r="H525" s="635" t="s">
        <v>6</v>
      </c>
      <c r="I525" s="627" t="s">
        <v>92</v>
      </c>
      <c r="J525" s="567"/>
      <c r="K525" s="568"/>
    </row>
    <row r="526" spans="1:11" x14ac:dyDescent="0.25">
      <c r="A526" s="590">
        <v>63000</v>
      </c>
      <c r="B526" s="576" t="s">
        <v>265</v>
      </c>
      <c r="C526" s="562"/>
      <c r="D526" s="610"/>
      <c r="E526" s="610"/>
      <c r="F526" s="641"/>
      <c r="G526" s="562"/>
      <c r="H526" s="562"/>
      <c r="I526" s="639" t="e">
        <f>F526/C526</f>
        <v>#DIV/0!</v>
      </c>
      <c r="J526" s="567"/>
      <c r="K526" s="568"/>
    </row>
    <row r="527" spans="1:11" x14ac:dyDescent="0.25">
      <c r="A527" s="590">
        <v>69010</v>
      </c>
      <c r="B527" s="576" t="s">
        <v>266</v>
      </c>
      <c r="C527" s="581"/>
      <c r="D527" s="564"/>
      <c r="E527" s="610"/>
      <c r="F527" s="641"/>
      <c r="G527" s="581"/>
      <c r="H527" s="581"/>
      <c r="I527" s="639" t="e">
        <f>F527/C527</f>
        <v>#DIV/0!</v>
      </c>
      <c r="J527" s="567"/>
      <c r="K527" s="568"/>
    </row>
    <row r="528" spans="1:11" x14ac:dyDescent="0.25">
      <c r="A528" s="590"/>
      <c r="B528" s="583" t="s">
        <v>242</v>
      </c>
      <c r="C528" s="584"/>
      <c r="D528" s="585"/>
      <c r="E528" s="585"/>
      <c r="F528" s="641"/>
      <c r="G528" s="584"/>
      <c r="H528" s="584"/>
      <c r="I528" s="639" t="e">
        <f>F528/C528</f>
        <v>#DIV/0!</v>
      </c>
      <c r="J528" s="567"/>
      <c r="K528" s="568"/>
    </row>
    <row r="529" spans="1:11" s="569" customFormat="1" x14ac:dyDescent="0.25">
      <c r="A529" s="590"/>
      <c r="B529" s="583"/>
      <c r="C529" s="564"/>
      <c r="D529" s="587"/>
      <c r="E529" s="587"/>
      <c r="F529" s="564"/>
      <c r="G529" s="581"/>
      <c r="H529" s="581"/>
      <c r="I529" s="581"/>
      <c r="J529" s="567"/>
      <c r="K529" s="568"/>
    </row>
    <row r="530" spans="1:11" x14ac:dyDescent="0.25">
      <c r="A530" s="687" t="s">
        <v>271</v>
      </c>
      <c r="B530" s="688" t="s">
        <v>272</v>
      </c>
      <c r="C530" s="630">
        <v>2017</v>
      </c>
      <c r="D530" s="629" t="s">
        <v>1236</v>
      </c>
      <c r="E530" s="629">
        <v>2018</v>
      </c>
      <c r="F530" s="630" t="s">
        <v>1236</v>
      </c>
      <c r="G530" s="631" t="s">
        <v>4</v>
      </c>
      <c r="H530" s="631">
        <v>2019</v>
      </c>
      <c r="I530" s="627" t="s">
        <v>5</v>
      </c>
      <c r="J530" s="567"/>
      <c r="K530" s="568"/>
    </row>
    <row r="531" spans="1:11" x14ac:dyDescent="0.25">
      <c r="A531" s="560"/>
      <c r="B531" s="561" t="s">
        <v>93</v>
      </c>
      <c r="C531" s="630" t="s">
        <v>6</v>
      </c>
      <c r="D531" s="634">
        <v>43069</v>
      </c>
      <c r="E531" s="631" t="s">
        <v>6</v>
      </c>
      <c r="F531" s="634">
        <v>43131</v>
      </c>
      <c r="G531" s="635" t="s">
        <v>1131</v>
      </c>
      <c r="H531" s="635" t="s">
        <v>6</v>
      </c>
      <c r="I531" s="627" t="s">
        <v>92</v>
      </c>
      <c r="J531" s="567"/>
      <c r="K531" s="568"/>
    </row>
    <row r="532" spans="1:11" x14ac:dyDescent="0.25">
      <c r="A532" s="590">
        <v>63000</v>
      </c>
      <c r="B532" s="576" t="s">
        <v>142</v>
      </c>
      <c r="C532" s="581"/>
      <c r="D532" s="564"/>
      <c r="E532" s="610"/>
      <c r="F532" s="641"/>
      <c r="G532" s="581"/>
      <c r="H532" s="581"/>
      <c r="I532" s="639" t="e">
        <f>F532/C532</f>
        <v>#DIV/0!</v>
      </c>
      <c r="J532" s="567"/>
      <c r="K532" s="568"/>
    </row>
    <row r="533" spans="1:11" x14ac:dyDescent="0.25">
      <c r="A533" s="590"/>
      <c r="B533" s="583" t="s">
        <v>242</v>
      </c>
      <c r="C533" s="587"/>
      <c r="D533" s="588"/>
      <c r="E533" s="588"/>
      <c r="F533" s="641"/>
      <c r="G533" s="587"/>
      <c r="H533" s="587"/>
      <c r="I533" s="639" t="e">
        <f>F533/C533</f>
        <v>#DIV/0!</v>
      </c>
      <c r="J533" s="567"/>
      <c r="K533" s="568"/>
    </row>
    <row r="534" spans="1:11" x14ac:dyDescent="0.25">
      <c r="A534" s="590"/>
      <c r="B534" s="583"/>
      <c r="C534" s="610"/>
      <c r="D534" s="589"/>
      <c r="E534" s="589"/>
      <c r="F534" s="564"/>
      <c r="G534" s="581"/>
      <c r="H534" s="581"/>
      <c r="I534" s="581"/>
      <c r="J534" s="567"/>
      <c r="K534" s="568"/>
    </row>
    <row r="535" spans="1:11" x14ac:dyDescent="0.25">
      <c r="A535" s="687"/>
      <c r="B535" s="688" t="s">
        <v>1279</v>
      </c>
      <c r="C535" s="630">
        <v>2017</v>
      </c>
      <c r="D535" s="629" t="s">
        <v>1236</v>
      </c>
      <c r="E535" s="629">
        <v>2018</v>
      </c>
      <c r="F535" s="630" t="s">
        <v>1236</v>
      </c>
      <c r="G535" s="631" t="s">
        <v>4</v>
      </c>
      <c r="H535" s="631">
        <v>2019</v>
      </c>
      <c r="I535" s="627" t="s">
        <v>5</v>
      </c>
      <c r="J535" s="567"/>
      <c r="K535" s="568"/>
    </row>
    <row r="536" spans="1:11" x14ac:dyDescent="0.25">
      <c r="A536" s="590"/>
      <c r="B536" s="561" t="s">
        <v>93</v>
      </c>
      <c r="C536" s="630" t="s">
        <v>6</v>
      </c>
      <c r="D536" s="634">
        <v>43069</v>
      </c>
      <c r="E536" s="631" t="s">
        <v>6</v>
      </c>
      <c r="F536" s="634">
        <v>43131</v>
      </c>
      <c r="G536" s="635" t="s">
        <v>1131</v>
      </c>
      <c r="H536" s="635" t="s">
        <v>6</v>
      </c>
      <c r="I536" s="627" t="s">
        <v>92</v>
      </c>
      <c r="J536" s="567"/>
      <c r="K536" s="568"/>
    </row>
    <row r="537" spans="1:11" x14ac:dyDescent="0.25">
      <c r="A537" s="590">
        <v>62500</v>
      </c>
      <c r="B537" s="576" t="s">
        <v>1147</v>
      </c>
      <c r="C537" s="562">
        <v>0</v>
      </c>
      <c r="D537" s="610">
        <v>0</v>
      </c>
      <c r="E537" s="562"/>
      <c r="F537" s="926"/>
      <c r="G537" s="562"/>
      <c r="H537" s="562">
        <v>0</v>
      </c>
      <c r="I537" s="639" t="e">
        <f>F537/C537</f>
        <v>#DIV/0!</v>
      </c>
      <c r="J537" s="567"/>
      <c r="K537" s="568"/>
    </row>
    <row r="538" spans="1:11" x14ac:dyDescent="0.25">
      <c r="A538" s="590">
        <v>63000</v>
      </c>
      <c r="B538" s="576" t="s">
        <v>142</v>
      </c>
      <c r="C538" s="562">
        <v>0</v>
      </c>
      <c r="D538" s="610">
        <v>0</v>
      </c>
      <c r="E538" s="562">
        <v>55060</v>
      </c>
      <c r="F538" s="641"/>
      <c r="G538" s="562">
        <v>55060</v>
      </c>
      <c r="H538" s="562">
        <v>0</v>
      </c>
      <c r="I538" s="639" t="e">
        <f>F538/C538</f>
        <v>#DIV/0!</v>
      </c>
      <c r="J538" s="567"/>
      <c r="K538" s="568"/>
    </row>
    <row r="539" spans="1:11" x14ac:dyDescent="0.25">
      <c r="A539" s="590">
        <v>69010</v>
      </c>
      <c r="B539" s="576" t="s">
        <v>156</v>
      </c>
      <c r="C539" s="581">
        <v>0</v>
      </c>
      <c r="D539" s="564">
        <v>0</v>
      </c>
      <c r="E539" s="562">
        <v>0.01</v>
      </c>
      <c r="F539" s="926"/>
      <c r="G539" s="581">
        <v>0</v>
      </c>
      <c r="H539" s="581">
        <v>0</v>
      </c>
      <c r="I539" s="639" t="e">
        <f>F539/C539</f>
        <v>#DIV/0!</v>
      </c>
      <c r="J539" s="567"/>
      <c r="K539" s="568"/>
    </row>
    <row r="540" spans="1:11" x14ac:dyDescent="0.25">
      <c r="A540" s="590"/>
      <c r="B540" s="583" t="s">
        <v>242</v>
      </c>
      <c r="C540" s="587">
        <f>SUM(C537:C539)</f>
        <v>0</v>
      </c>
      <c r="D540" s="588">
        <f t="shared" ref="D540:H540" si="47">SUM(D537:D539)</f>
        <v>0</v>
      </c>
      <c r="E540" s="698">
        <f>SUM(E537:E539)</f>
        <v>55060.01</v>
      </c>
      <c r="F540" s="701">
        <f t="shared" si="47"/>
        <v>0</v>
      </c>
      <c r="G540" s="698">
        <f>SUM(G537:G539)</f>
        <v>55060</v>
      </c>
      <c r="H540" s="587">
        <f t="shared" si="47"/>
        <v>0</v>
      </c>
      <c r="I540" s="639" t="e">
        <f>F540/C540</f>
        <v>#DIV/0!</v>
      </c>
      <c r="J540" s="567"/>
      <c r="K540" s="568"/>
    </row>
    <row r="541" spans="1:11" x14ac:dyDescent="0.25">
      <c r="A541" s="590"/>
      <c r="B541" s="583"/>
      <c r="C541" s="610"/>
      <c r="D541" s="589"/>
      <c r="E541" s="589"/>
      <c r="F541" s="564"/>
      <c r="G541" s="581"/>
      <c r="H541" s="581"/>
      <c r="I541" s="581"/>
      <c r="J541" s="567"/>
      <c r="K541" s="568"/>
    </row>
    <row r="542" spans="1:11" x14ac:dyDescent="0.25">
      <c r="A542" s="687" t="s">
        <v>273</v>
      </c>
      <c r="B542" s="688" t="s">
        <v>274</v>
      </c>
      <c r="C542" s="630">
        <v>2017</v>
      </c>
      <c r="D542" s="629" t="s">
        <v>1236</v>
      </c>
      <c r="E542" s="629">
        <v>2018</v>
      </c>
      <c r="F542" s="630" t="s">
        <v>1236</v>
      </c>
      <c r="G542" s="631" t="s">
        <v>4</v>
      </c>
      <c r="H542" s="631">
        <v>2019</v>
      </c>
      <c r="I542" s="627" t="s">
        <v>5</v>
      </c>
      <c r="J542" s="567"/>
      <c r="K542" s="568"/>
    </row>
    <row r="543" spans="1:11" x14ac:dyDescent="0.25">
      <c r="A543" s="590"/>
      <c r="B543" s="561" t="s">
        <v>93</v>
      </c>
      <c r="C543" s="630" t="s">
        <v>6</v>
      </c>
      <c r="D543" s="634">
        <v>43069</v>
      </c>
      <c r="E543" s="631" t="s">
        <v>6</v>
      </c>
      <c r="F543" s="634">
        <v>43131</v>
      </c>
      <c r="G543" s="635" t="s">
        <v>1131</v>
      </c>
      <c r="H543" s="635" t="s">
        <v>6</v>
      </c>
      <c r="I543" s="627" t="s">
        <v>92</v>
      </c>
      <c r="J543" s="567"/>
      <c r="K543" s="568"/>
    </row>
    <row r="544" spans="1:11" x14ac:dyDescent="0.25">
      <c r="A544" s="590">
        <v>63000</v>
      </c>
      <c r="B544" s="576" t="s">
        <v>142</v>
      </c>
      <c r="C544" s="581"/>
      <c r="D544" s="581">
        <v>46916.46</v>
      </c>
      <c r="E544" s="562"/>
      <c r="F544" s="648"/>
      <c r="G544" s="581"/>
      <c r="H544" s="581"/>
      <c r="I544" s="639" t="e">
        <f>F544/C544</f>
        <v>#DIV/0!</v>
      </c>
      <c r="J544" s="567"/>
      <c r="K544" s="568"/>
    </row>
    <row r="545" spans="1:11" x14ac:dyDescent="0.25">
      <c r="A545" s="590">
        <v>69010</v>
      </c>
      <c r="B545" s="576" t="s">
        <v>156</v>
      </c>
      <c r="C545" s="581"/>
      <c r="D545" s="581">
        <v>25.98</v>
      </c>
      <c r="E545" s="562"/>
      <c r="F545" s="648"/>
      <c r="G545" s="581"/>
      <c r="H545" s="581"/>
      <c r="I545" s="639" t="e">
        <f>F545/C545</f>
        <v>#DIV/0!</v>
      </c>
      <c r="J545" s="567"/>
      <c r="K545" s="568"/>
    </row>
    <row r="546" spans="1:11" x14ac:dyDescent="0.25">
      <c r="A546" s="590"/>
      <c r="B546" s="583" t="s">
        <v>242</v>
      </c>
      <c r="C546" s="587">
        <f>SUM(C544:C545)</f>
        <v>0</v>
      </c>
      <c r="D546" s="587">
        <f t="shared" ref="D546" si="48">SUM(D544:D545)</f>
        <v>46942.44</v>
      </c>
      <c r="E546" s="587"/>
      <c r="F546" s="648"/>
      <c r="G546" s="587"/>
      <c r="H546" s="587"/>
      <c r="I546" s="639" t="e">
        <f>F546/C546</f>
        <v>#DIV/0!</v>
      </c>
      <c r="J546" s="567"/>
      <c r="K546" s="568"/>
    </row>
    <row r="547" spans="1:11" s="569" customFormat="1" x14ac:dyDescent="0.25">
      <c r="A547" s="590"/>
      <c r="B547" s="583"/>
      <c r="C547" s="610"/>
      <c r="D547" s="589"/>
      <c r="E547" s="589"/>
      <c r="F547" s="564"/>
      <c r="G547" s="581"/>
      <c r="H547" s="581"/>
      <c r="I547" s="581"/>
      <c r="J547" s="567"/>
      <c r="K547" s="568"/>
    </row>
    <row r="548" spans="1:11" x14ac:dyDescent="0.25">
      <c r="A548" s="687" t="s">
        <v>275</v>
      </c>
      <c r="B548" s="688" t="s">
        <v>276</v>
      </c>
      <c r="C548" s="630">
        <v>2017</v>
      </c>
      <c r="D548" s="629" t="s">
        <v>1236</v>
      </c>
      <c r="E548" s="629">
        <v>2018</v>
      </c>
      <c r="F548" s="630" t="s">
        <v>1236</v>
      </c>
      <c r="G548" s="631" t="s">
        <v>4</v>
      </c>
      <c r="H548" s="631">
        <v>2019</v>
      </c>
      <c r="I548" s="627" t="s">
        <v>5</v>
      </c>
      <c r="J548" s="567"/>
      <c r="K548" s="568"/>
    </row>
    <row r="549" spans="1:11" x14ac:dyDescent="0.25">
      <c r="A549" s="590"/>
      <c r="B549" s="561" t="s">
        <v>93</v>
      </c>
      <c r="C549" s="630" t="s">
        <v>6</v>
      </c>
      <c r="D549" s="634">
        <v>43069</v>
      </c>
      <c r="E549" s="631" t="s">
        <v>6</v>
      </c>
      <c r="F549" s="634">
        <v>43131</v>
      </c>
      <c r="G549" s="635" t="s">
        <v>1131</v>
      </c>
      <c r="H549" s="635" t="s">
        <v>6</v>
      </c>
      <c r="I549" s="627" t="s">
        <v>92</v>
      </c>
      <c r="J549" s="567"/>
      <c r="K549" s="568"/>
    </row>
    <row r="550" spans="1:11" x14ac:dyDescent="0.25">
      <c r="A550" s="590">
        <v>63000</v>
      </c>
      <c r="B550" s="576" t="s">
        <v>142</v>
      </c>
      <c r="C550" s="581"/>
      <c r="D550" s="581"/>
      <c r="E550" s="610"/>
      <c r="F550" s="648"/>
      <c r="G550" s="581"/>
      <c r="H550" s="581"/>
      <c r="I550" s="639" t="e">
        <f>F550/C550</f>
        <v>#DIV/0!</v>
      </c>
      <c r="J550" s="567"/>
      <c r="K550" s="568"/>
    </row>
    <row r="551" spans="1:11" x14ac:dyDescent="0.25">
      <c r="A551" s="590">
        <v>69010</v>
      </c>
      <c r="B551" s="576" t="s">
        <v>156</v>
      </c>
      <c r="C551" s="581"/>
      <c r="D551" s="581"/>
      <c r="E551" s="610"/>
      <c r="F551" s="648"/>
      <c r="G551" s="581"/>
      <c r="H551" s="581"/>
      <c r="I551" s="639" t="e">
        <f>F551/C551</f>
        <v>#DIV/0!</v>
      </c>
      <c r="J551" s="567"/>
      <c r="K551" s="568"/>
    </row>
    <row r="552" spans="1:11" x14ac:dyDescent="0.25">
      <c r="A552" s="590"/>
      <c r="B552" s="583" t="s">
        <v>242</v>
      </c>
      <c r="C552" s="589"/>
      <c r="D552" s="587"/>
      <c r="E552" s="588"/>
      <c r="F552" s="648"/>
      <c r="G552" s="589"/>
      <c r="H552" s="589"/>
      <c r="I552" s="639" t="e">
        <f>F552/C552</f>
        <v>#DIV/0!</v>
      </c>
      <c r="J552" s="567"/>
      <c r="K552" s="568"/>
    </row>
    <row r="553" spans="1:11" x14ac:dyDescent="0.25">
      <c r="A553" s="590"/>
      <c r="B553" s="583"/>
      <c r="C553" s="589"/>
      <c r="D553" s="588"/>
      <c r="E553" s="588"/>
      <c r="F553" s="641"/>
      <c r="G553" s="589"/>
      <c r="I553" s="639"/>
      <c r="J553" s="567"/>
      <c r="K553" s="568"/>
    </row>
    <row r="554" spans="1:11" s="569" customFormat="1" x14ac:dyDescent="0.25">
      <c r="A554" s="687" t="s">
        <v>1062</v>
      </c>
      <c r="B554" s="688" t="s">
        <v>1061</v>
      </c>
      <c r="C554" s="677">
        <v>2017</v>
      </c>
      <c r="D554" s="765" t="s">
        <v>1236</v>
      </c>
      <c r="E554" s="765">
        <v>2018</v>
      </c>
      <c r="F554" s="677" t="s">
        <v>1236</v>
      </c>
      <c r="G554" s="765" t="s">
        <v>4</v>
      </c>
      <c r="H554" s="765">
        <v>2019</v>
      </c>
      <c r="I554" s="766" t="s">
        <v>5</v>
      </c>
      <c r="J554" s="567"/>
      <c r="K554" s="568"/>
    </row>
    <row r="555" spans="1:11" x14ac:dyDescent="0.25">
      <c r="A555" s="590"/>
      <c r="B555" s="561" t="s">
        <v>93</v>
      </c>
      <c r="C555" s="630" t="s">
        <v>6</v>
      </c>
      <c r="D555" s="634">
        <v>43069</v>
      </c>
      <c r="E555" s="631" t="s">
        <v>6</v>
      </c>
      <c r="F555" s="634">
        <v>43131</v>
      </c>
      <c r="G555" s="635" t="s">
        <v>1131</v>
      </c>
      <c r="H555" s="635" t="s">
        <v>6</v>
      </c>
      <c r="I555" s="627" t="s">
        <v>92</v>
      </c>
      <c r="J555" s="567"/>
      <c r="K555" s="568"/>
    </row>
    <row r="556" spans="1:11" x14ac:dyDescent="0.25">
      <c r="A556" s="590">
        <v>63000</v>
      </c>
      <c r="B556" s="576" t="s">
        <v>142</v>
      </c>
      <c r="C556" s="581"/>
      <c r="D556" s="581">
        <v>71510.83</v>
      </c>
      <c r="E556" s="562">
        <v>137754</v>
      </c>
      <c r="F556" s="648"/>
      <c r="G556" s="581">
        <v>137754</v>
      </c>
      <c r="H556" s="581">
        <v>0</v>
      </c>
      <c r="I556" s="639" t="e">
        <f>F556/C556</f>
        <v>#DIV/0!</v>
      </c>
      <c r="J556" s="567"/>
      <c r="K556" s="568"/>
    </row>
    <row r="557" spans="1:11" x14ac:dyDescent="0.25">
      <c r="A557" s="590">
        <v>69010</v>
      </c>
      <c r="B557" s="576" t="s">
        <v>156</v>
      </c>
      <c r="C557" s="581"/>
      <c r="D557" s="581">
        <v>5596.25</v>
      </c>
      <c r="E557" s="562">
        <v>0</v>
      </c>
      <c r="F557" s="648"/>
      <c r="G557" s="581">
        <v>0</v>
      </c>
      <c r="H557" s="581">
        <v>0</v>
      </c>
      <c r="I557" s="639" t="e">
        <f>F557/C557</f>
        <v>#DIV/0!</v>
      </c>
      <c r="J557" s="567"/>
      <c r="K557" s="568"/>
    </row>
    <row r="558" spans="1:11" x14ac:dyDescent="0.25">
      <c r="A558" s="590"/>
      <c r="B558" s="583" t="s">
        <v>242</v>
      </c>
      <c r="C558" s="587"/>
      <c r="D558" s="587">
        <f t="shared" ref="D558:H558" si="49">SUM(D556:D557)</f>
        <v>77107.08</v>
      </c>
      <c r="E558" s="698">
        <f>SUM(E556:E557)</f>
        <v>137754</v>
      </c>
      <c r="F558" s="982"/>
      <c r="G558" s="698">
        <f>SUM(G556:G557)</f>
        <v>137754</v>
      </c>
      <c r="H558" s="587">
        <f t="shared" si="49"/>
        <v>0</v>
      </c>
      <c r="I558" s="639" t="e">
        <f>F558/C558</f>
        <v>#DIV/0!</v>
      </c>
      <c r="J558" s="567"/>
      <c r="K558" s="568"/>
    </row>
    <row r="559" spans="1:11" x14ac:dyDescent="0.25">
      <c r="A559" s="590"/>
      <c r="B559" s="583"/>
      <c r="C559" s="587"/>
      <c r="D559" s="587"/>
      <c r="E559" s="587"/>
      <c r="F559" s="648"/>
      <c r="G559" s="587"/>
      <c r="H559" s="587"/>
      <c r="I559" s="639"/>
      <c r="J559" s="567"/>
      <c r="K559" s="568"/>
    </row>
    <row r="560" spans="1:11" x14ac:dyDescent="0.25">
      <c r="A560" s="687" t="s">
        <v>1188</v>
      </c>
      <c r="B560" s="688" t="s">
        <v>1189</v>
      </c>
      <c r="C560" s="677">
        <v>2017</v>
      </c>
      <c r="D560" s="765" t="s">
        <v>1236</v>
      </c>
      <c r="E560" s="765">
        <v>2018</v>
      </c>
      <c r="F560" s="677" t="s">
        <v>1236</v>
      </c>
      <c r="G560" s="765" t="s">
        <v>4</v>
      </c>
      <c r="H560" s="765">
        <v>2019</v>
      </c>
      <c r="I560" s="766" t="s">
        <v>5</v>
      </c>
      <c r="J560" s="567"/>
      <c r="K560" s="568"/>
    </row>
    <row r="561" spans="1:11" x14ac:dyDescent="0.25">
      <c r="A561" s="899"/>
      <c r="B561" s="935" t="s">
        <v>93</v>
      </c>
      <c r="C561" s="630" t="s">
        <v>6</v>
      </c>
      <c r="D561" s="634">
        <v>43069</v>
      </c>
      <c r="E561" s="631" t="s">
        <v>6</v>
      </c>
      <c r="F561" s="634">
        <v>43131</v>
      </c>
      <c r="G561" s="635" t="s">
        <v>1131</v>
      </c>
      <c r="H561" s="635" t="s">
        <v>6</v>
      </c>
      <c r="I561" s="627" t="s">
        <v>92</v>
      </c>
      <c r="J561" s="567"/>
      <c r="K561" s="568"/>
    </row>
    <row r="562" spans="1:11" x14ac:dyDescent="0.25">
      <c r="A562" s="899">
        <v>63000</v>
      </c>
      <c r="B562" s="900" t="s">
        <v>142</v>
      </c>
      <c r="C562" s="937"/>
      <c r="D562" s="902">
        <v>49436.34</v>
      </c>
      <c r="E562" s="902">
        <v>265964</v>
      </c>
      <c r="F562" s="902"/>
      <c r="G562" s="902">
        <v>265964</v>
      </c>
      <c r="H562" s="937"/>
      <c r="I562" s="934"/>
      <c r="J562" s="567"/>
      <c r="K562" s="568"/>
    </row>
    <row r="563" spans="1:11" x14ac:dyDescent="0.25">
      <c r="A563" s="899">
        <v>69010</v>
      </c>
      <c r="B563" s="900" t="s">
        <v>156</v>
      </c>
      <c r="C563" s="937"/>
      <c r="D563" s="902"/>
      <c r="E563" s="902"/>
      <c r="F563" s="902"/>
      <c r="G563" s="902"/>
      <c r="H563" s="937"/>
      <c r="I563" s="934"/>
      <c r="J563" s="567"/>
      <c r="K563" s="568"/>
    </row>
    <row r="564" spans="1:11" x14ac:dyDescent="0.25">
      <c r="A564" s="899"/>
      <c r="B564" s="938" t="s">
        <v>242</v>
      </c>
      <c r="C564" s="937"/>
      <c r="D564" s="902">
        <f>SUM(D562:D563)</f>
        <v>49436.34</v>
      </c>
      <c r="E564" s="954">
        <f>SUM(E562:E563)</f>
        <v>265964</v>
      </c>
      <c r="F564" s="983">
        <f>SUM(F562:F563)</f>
        <v>0</v>
      </c>
      <c r="G564" s="954">
        <f>SUM(G562:G563)</f>
        <v>265964</v>
      </c>
      <c r="H564" s="937"/>
      <c r="I564" s="934"/>
      <c r="J564" s="567"/>
      <c r="K564" s="568"/>
    </row>
    <row r="565" spans="1:11" x14ac:dyDescent="0.25">
      <c r="A565" s="899"/>
      <c r="B565" s="938"/>
      <c r="C565" s="937"/>
      <c r="D565" s="902"/>
      <c r="E565" s="902"/>
      <c r="F565" s="958"/>
      <c r="G565" s="902"/>
      <c r="H565" s="937"/>
      <c r="I565" s="934"/>
      <c r="J565" s="567"/>
      <c r="K565" s="568"/>
    </row>
    <row r="566" spans="1:11" x14ac:dyDescent="0.25">
      <c r="A566" s="687" t="s">
        <v>1188</v>
      </c>
      <c r="B566" s="688" t="s">
        <v>1272</v>
      </c>
      <c r="C566" s="677">
        <v>2017</v>
      </c>
      <c r="D566" s="766" t="s">
        <v>1236</v>
      </c>
      <c r="E566" s="766">
        <v>2018</v>
      </c>
      <c r="F566" s="677" t="s">
        <v>1236</v>
      </c>
      <c r="G566" s="766" t="s">
        <v>4</v>
      </c>
      <c r="H566" s="765">
        <v>2019</v>
      </c>
      <c r="I566" s="766" t="s">
        <v>5</v>
      </c>
      <c r="J566" s="567"/>
      <c r="K566" s="568"/>
    </row>
    <row r="567" spans="1:11" x14ac:dyDescent="0.25">
      <c r="A567" s="899"/>
      <c r="B567" s="935" t="s">
        <v>93</v>
      </c>
      <c r="C567" s="630" t="s">
        <v>6</v>
      </c>
      <c r="D567" s="634">
        <v>43069</v>
      </c>
      <c r="E567" s="626" t="s">
        <v>6</v>
      </c>
      <c r="F567" s="634">
        <v>43131</v>
      </c>
      <c r="G567" s="626" t="s">
        <v>1131</v>
      </c>
      <c r="H567" s="635" t="s">
        <v>6</v>
      </c>
      <c r="I567" s="627" t="s">
        <v>92</v>
      </c>
      <c r="J567" s="567"/>
      <c r="K567" s="568"/>
    </row>
    <row r="568" spans="1:11" x14ac:dyDescent="0.25">
      <c r="A568" s="899">
        <v>63000</v>
      </c>
      <c r="B568" s="900" t="s">
        <v>142</v>
      </c>
      <c r="C568" s="937"/>
      <c r="D568" s="902"/>
      <c r="E568" s="902">
        <v>105000</v>
      </c>
      <c r="F568" s="902"/>
      <c r="G568" s="902">
        <v>105000</v>
      </c>
      <c r="H568" s="937"/>
      <c r="I568" s="934"/>
      <c r="J568" s="567"/>
      <c r="K568" s="568"/>
    </row>
    <row r="569" spans="1:11" x14ac:dyDescent="0.25">
      <c r="A569" s="899">
        <v>69010</v>
      </c>
      <c r="B569" s="900" t="s">
        <v>156</v>
      </c>
      <c r="C569" s="937"/>
      <c r="D569" s="902"/>
      <c r="E569" s="902"/>
      <c r="F569" s="902"/>
      <c r="G569" s="902"/>
      <c r="H569" s="937"/>
      <c r="I569" s="934"/>
      <c r="J569" s="567"/>
      <c r="K569" s="568"/>
    </row>
    <row r="570" spans="1:11" x14ac:dyDescent="0.25">
      <c r="A570" s="899"/>
      <c r="B570" s="938" t="s">
        <v>242</v>
      </c>
      <c r="C570" s="937"/>
      <c r="D570" s="902"/>
      <c r="E570" s="954">
        <f>SUM(E568:E569)</f>
        <v>105000</v>
      </c>
      <c r="F570" s="983">
        <f>SUM(F568:F569)</f>
        <v>0</v>
      </c>
      <c r="G570" s="954">
        <f>SUM(G568:G569)</f>
        <v>105000</v>
      </c>
      <c r="H570" s="937"/>
      <c r="I570" s="934"/>
      <c r="J570" s="567"/>
      <c r="K570" s="568"/>
    </row>
    <row r="571" spans="1:11" s="569" customFormat="1" x14ac:dyDescent="0.25">
      <c r="A571" s="687" t="s">
        <v>1081</v>
      </c>
      <c r="B571" s="688" t="s">
        <v>1080</v>
      </c>
      <c r="C571" s="677">
        <v>2017</v>
      </c>
      <c r="D571" s="765" t="s">
        <v>1236</v>
      </c>
      <c r="E571" s="765">
        <v>2018</v>
      </c>
      <c r="F571" s="677" t="s">
        <v>1236</v>
      </c>
      <c r="G571" s="765" t="s">
        <v>4</v>
      </c>
      <c r="H571" s="765">
        <v>2019</v>
      </c>
      <c r="I571" s="766" t="s">
        <v>5</v>
      </c>
      <c r="J571" s="567"/>
      <c r="K571" s="568"/>
    </row>
    <row r="572" spans="1:11" x14ac:dyDescent="0.25">
      <c r="A572" s="590"/>
      <c r="B572" s="561" t="s">
        <v>93</v>
      </c>
      <c r="C572" s="630" t="s">
        <v>6</v>
      </c>
      <c r="D572" s="634">
        <v>43069</v>
      </c>
      <c r="E572" s="631" t="s">
        <v>6</v>
      </c>
      <c r="F572" s="634">
        <v>43131</v>
      </c>
      <c r="G572" s="635" t="s">
        <v>1131</v>
      </c>
      <c r="H572" s="635" t="s">
        <v>6</v>
      </c>
      <c r="I572" s="627" t="s">
        <v>92</v>
      </c>
      <c r="J572" s="567"/>
      <c r="K572" s="568"/>
    </row>
    <row r="573" spans="1:11" s="706" customFormat="1" x14ac:dyDescent="0.25">
      <c r="A573" s="590">
        <v>51330</v>
      </c>
      <c r="B573" s="576" t="s">
        <v>1148</v>
      </c>
      <c r="C573" s="562">
        <v>300000</v>
      </c>
      <c r="D573" s="562">
        <v>0</v>
      </c>
      <c r="E573" s="902"/>
      <c r="F573" s="562"/>
      <c r="G573" s="562"/>
      <c r="H573" s="562"/>
      <c r="I573" s="639">
        <f>F573/C573</f>
        <v>0</v>
      </c>
      <c r="J573" s="568"/>
      <c r="K573" s="568"/>
    </row>
    <row r="574" spans="1:11" s="706" customFormat="1" x14ac:dyDescent="0.25">
      <c r="A574" s="590">
        <v>59352</v>
      </c>
      <c r="B574" s="576" t="s">
        <v>1149</v>
      </c>
      <c r="C574" s="562">
        <v>25000</v>
      </c>
      <c r="D574" s="562">
        <v>0</v>
      </c>
      <c r="E574" s="902"/>
      <c r="F574" s="562"/>
      <c r="G574" s="562"/>
      <c r="H574" s="562"/>
      <c r="I574" s="639">
        <f>F574/C574</f>
        <v>0</v>
      </c>
      <c r="J574" s="568"/>
      <c r="K574" s="568"/>
    </row>
    <row r="575" spans="1:11" x14ac:dyDescent="0.25">
      <c r="A575" s="590">
        <v>63000</v>
      </c>
      <c r="B575" s="576" t="s">
        <v>142</v>
      </c>
      <c r="C575" s="562">
        <v>25000</v>
      </c>
      <c r="D575" s="562">
        <v>0</v>
      </c>
      <c r="E575" s="902"/>
      <c r="F575" s="562"/>
      <c r="G575" s="562"/>
      <c r="H575" s="562"/>
      <c r="I575" s="639">
        <f>F575/C575</f>
        <v>0</v>
      </c>
      <c r="J575" s="567"/>
      <c r="K575" s="568"/>
    </row>
    <row r="576" spans="1:11" x14ac:dyDescent="0.25">
      <c r="A576" s="590">
        <v>64120</v>
      </c>
      <c r="B576" s="576" t="s">
        <v>1148</v>
      </c>
      <c r="C576" s="562">
        <v>25000</v>
      </c>
      <c r="D576" s="562">
        <v>0</v>
      </c>
      <c r="E576" s="902"/>
      <c r="F576" s="562"/>
      <c r="G576" s="562"/>
      <c r="H576" s="562"/>
      <c r="I576" s="639">
        <f>F576/C576</f>
        <v>0</v>
      </c>
      <c r="J576" s="567"/>
      <c r="K576" s="568"/>
    </row>
    <row r="577" spans="1:11" x14ac:dyDescent="0.25">
      <c r="A577" s="590"/>
      <c r="B577" s="583" t="s">
        <v>242</v>
      </c>
      <c r="C577" s="584">
        <f>SUM(C573:C576)</f>
        <v>375000</v>
      </c>
      <c r="D577" s="584">
        <f t="shared" ref="D577:H577" si="50">SUM(D573:D576)</f>
        <v>0</v>
      </c>
      <c r="E577" s="958"/>
      <c r="F577" s="707"/>
      <c r="G577" s="584"/>
      <c r="H577" s="584">
        <f t="shared" si="50"/>
        <v>0</v>
      </c>
      <c r="I577" s="639">
        <f>F577/C577</f>
        <v>0</v>
      </c>
      <c r="J577" s="567"/>
      <c r="K577" s="568"/>
    </row>
    <row r="578" spans="1:11" x14ac:dyDescent="0.25">
      <c r="A578" s="590"/>
      <c r="B578" s="583"/>
      <c r="C578" s="610"/>
      <c r="D578" s="589"/>
      <c r="E578" s="589"/>
      <c r="F578" s="564"/>
      <c r="G578" s="581"/>
      <c r="H578" s="581"/>
      <c r="I578" s="581"/>
      <c r="J578" s="567"/>
      <c r="K578" s="568"/>
    </row>
    <row r="579" spans="1:11" x14ac:dyDescent="0.25">
      <c r="A579" s="687" t="s">
        <v>277</v>
      </c>
      <c r="B579" s="688" t="s">
        <v>278</v>
      </c>
      <c r="C579" s="677">
        <v>2017</v>
      </c>
      <c r="D579" s="765" t="s">
        <v>1236</v>
      </c>
      <c r="E579" s="765">
        <v>2018</v>
      </c>
      <c r="F579" s="677" t="s">
        <v>1236</v>
      </c>
      <c r="G579" s="765" t="s">
        <v>4</v>
      </c>
      <c r="H579" s="765">
        <v>2019</v>
      </c>
      <c r="I579" s="766" t="s">
        <v>5</v>
      </c>
      <c r="J579" s="567"/>
      <c r="K579" s="691"/>
    </row>
    <row r="580" spans="1:11" x14ac:dyDescent="0.25">
      <c r="A580" s="590"/>
      <c r="B580" s="561" t="s">
        <v>93</v>
      </c>
      <c r="C580" s="677" t="s">
        <v>6</v>
      </c>
      <c r="D580" s="678">
        <v>43069</v>
      </c>
      <c r="E580" s="765" t="s">
        <v>6</v>
      </c>
      <c r="F580" s="678">
        <v>43131</v>
      </c>
      <c r="G580" s="678" t="s">
        <v>1131</v>
      </c>
      <c r="H580" s="678" t="s">
        <v>6</v>
      </c>
      <c r="I580" s="766" t="s">
        <v>92</v>
      </c>
      <c r="J580" s="567"/>
      <c r="K580" s="568"/>
    </row>
    <row r="581" spans="1:11" x14ac:dyDescent="0.25">
      <c r="A581" s="590">
        <v>62500</v>
      </c>
      <c r="B581" s="576" t="s">
        <v>1151</v>
      </c>
      <c r="C581" s="581"/>
      <c r="D581" s="581">
        <v>0</v>
      </c>
      <c r="E581" s="902">
        <v>0</v>
      </c>
      <c r="F581" s="648"/>
      <c r="G581" s="581">
        <v>0</v>
      </c>
      <c r="H581" s="581"/>
      <c r="I581" s="639" t="e">
        <f>F581/C581</f>
        <v>#DIV/0!</v>
      </c>
      <c r="J581" s="567"/>
      <c r="K581" s="568"/>
    </row>
    <row r="582" spans="1:11" x14ac:dyDescent="0.25">
      <c r="A582" s="590">
        <v>62510</v>
      </c>
      <c r="B582" s="576" t="s">
        <v>1150</v>
      </c>
      <c r="C582" s="581"/>
      <c r="D582" s="581">
        <v>0</v>
      </c>
      <c r="E582" s="902">
        <v>0</v>
      </c>
      <c r="F582" s="648"/>
      <c r="G582" s="581">
        <v>0</v>
      </c>
      <c r="H582" s="581"/>
      <c r="I582" s="639" t="e">
        <f>F582/C582</f>
        <v>#DIV/0!</v>
      </c>
      <c r="J582" s="567"/>
      <c r="K582" s="568"/>
    </row>
    <row r="583" spans="1:11" x14ac:dyDescent="0.25">
      <c r="A583" s="590">
        <v>63000</v>
      </c>
      <c r="B583" s="576" t="s">
        <v>142</v>
      </c>
      <c r="C583" s="581">
        <v>10000</v>
      </c>
      <c r="D583" s="581">
        <v>9413.2000000000007</v>
      </c>
      <c r="E583" s="902">
        <v>10000</v>
      </c>
      <c r="F583" s="648"/>
      <c r="G583" s="581">
        <v>10000</v>
      </c>
      <c r="H583" s="581"/>
      <c r="I583" s="639">
        <f>F583/C583</f>
        <v>0</v>
      </c>
      <c r="J583" s="561"/>
      <c r="K583" s="568"/>
    </row>
    <row r="584" spans="1:11" x14ac:dyDescent="0.25">
      <c r="A584" s="598"/>
      <c r="B584" s="583" t="s">
        <v>242</v>
      </c>
      <c r="C584" s="584">
        <f>SUM(C581:C583)</f>
        <v>10000</v>
      </c>
      <c r="D584" s="584">
        <f t="shared" ref="D584:H584" si="51">SUM(D581:D583)</f>
        <v>9413.2000000000007</v>
      </c>
      <c r="E584" s="958">
        <f>SUM(E581:E583)</f>
        <v>10000</v>
      </c>
      <c r="F584" s="584">
        <f t="shared" si="51"/>
        <v>0</v>
      </c>
      <c r="G584" s="584">
        <f>SUM(G581:G583)</f>
        <v>10000</v>
      </c>
      <c r="H584" s="585">
        <f t="shared" si="51"/>
        <v>0</v>
      </c>
      <c r="I584" s="639">
        <f>F584/C584</f>
        <v>0</v>
      </c>
      <c r="J584" s="699"/>
      <c r="K584" s="700"/>
    </row>
    <row r="585" spans="1:11" x14ac:dyDescent="0.25">
      <c r="A585" s="575"/>
      <c r="B585" s="583"/>
      <c r="C585" s="581"/>
      <c r="D585" s="564"/>
      <c r="E585" s="610"/>
      <c r="F585" s="622"/>
      <c r="G585" s="581"/>
      <c r="H585" s="581"/>
      <c r="I585" s="639"/>
      <c r="J585" s="567"/>
      <c r="K585" s="568"/>
    </row>
    <row r="586" spans="1:11" x14ac:dyDescent="0.25">
      <c r="A586" s="575"/>
      <c r="B586" s="561" t="s">
        <v>279</v>
      </c>
      <c r="C586" s="708">
        <f>C436</f>
        <v>28200</v>
      </c>
      <c r="D586" s="708">
        <f t="shared" ref="D586:H586" si="52">D436</f>
        <v>530058.41</v>
      </c>
      <c r="E586" s="708">
        <f>E436</f>
        <v>664939.15000000014</v>
      </c>
      <c r="F586" s="683">
        <f t="shared" si="52"/>
        <v>0</v>
      </c>
      <c r="G586" s="708">
        <f>G436</f>
        <v>664939</v>
      </c>
      <c r="H586" s="708">
        <f t="shared" si="52"/>
        <v>0</v>
      </c>
      <c r="I586" s="639">
        <f>F586/C586</f>
        <v>0</v>
      </c>
      <c r="J586" s="567"/>
      <c r="K586" s="568"/>
    </row>
    <row r="587" spans="1:11" x14ac:dyDescent="0.25">
      <c r="A587" s="575"/>
      <c r="B587" s="561" t="s">
        <v>280</v>
      </c>
      <c r="C587" s="566">
        <f>C446+C455+C467+C472+C485+C492+C442+C511+C522+C528+C533+C540+C546+C552+C584+C558+C460+C498+C577+C564</f>
        <v>449250</v>
      </c>
      <c r="D587" s="566">
        <f>D448+D455+D467+D473+D485+D492+D442+D511+D522+D528+D533+D540+D546+D552+D584+D558+D460+D499+D577+D564+D570</f>
        <v>589530.55999999994</v>
      </c>
      <c r="E587" s="566">
        <f>E446+E455+E467+E472+E485+E492+E442+E511+E522+E528+E533+E540+E546+E552+E584+E558+E460+E499+E577+E564+E570</f>
        <v>589428.05000000005</v>
      </c>
      <c r="F587" s="566">
        <f>F446+F455+F467+F472+F485+F492+F442+F511+F522+F528+F533+F540+F546+F552+F584+F558+F460+F498+F564</f>
        <v>0</v>
      </c>
      <c r="G587" s="566">
        <f>G446+G455+G467+G472+G485+G492+G442+G511+G522+G528+G533+G540+G546+G552+G584+G558+G460+G499+G577+G564+G570</f>
        <v>589428</v>
      </c>
      <c r="H587" s="566">
        <f>H446+H455+H467+H472+H485+H492+H442+H511+H522+H528+H533+H540+H546+H552+H584+H558+H460+H498+H577</f>
        <v>0</v>
      </c>
      <c r="I587" s="639">
        <f>F587/C587</f>
        <v>0</v>
      </c>
      <c r="J587" s="567"/>
      <c r="K587" s="568"/>
    </row>
    <row r="588" spans="1:11" x14ac:dyDescent="0.25">
      <c r="A588" s="560"/>
      <c r="B588" s="561" t="s">
        <v>116</v>
      </c>
      <c r="C588" s="563">
        <f>C586+C587</f>
        <v>477450</v>
      </c>
      <c r="D588" s="563">
        <f t="shared" ref="D588:F588" si="53">D586+D587</f>
        <v>1119588.97</v>
      </c>
      <c r="E588" s="563">
        <f>E586+E587</f>
        <v>1254367.2000000002</v>
      </c>
      <c r="F588" s="563">
        <f t="shared" si="53"/>
        <v>0</v>
      </c>
      <c r="G588" s="563">
        <f>G586+G587</f>
        <v>1254367</v>
      </c>
      <c r="H588" s="563">
        <f t="shared" ref="H588" si="54">H586+H587</f>
        <v>0</v>
      </c>
      <c r="I588" s="639">
        <f>F588/C588</f>
        <v>0</v>
      </c>
      <c r="J588" s="567"/>
      <c r="K588" s="568"/>
    </row>
    <row r="589" spans="1:11" s="569" customFormat="1" x14ac:dyDescent="0.25">
      <c r="A589" s="560"/>
      <c r="B589" s="561"/>
      <c r="C589" s="564"/>
      <c r="D589" s="563"/>
      <c r="E589" s="589"/>
      <c r="F589" s="564"/>
      <c r="G589" s="581"/>
      <c r="H589" s="581"/>
      <c r="I589" s="581"/>
      <c r="J589" s="567"/>
      <c r="K589" s="568"/>
    </row>
    <row r="590" spans="1:11" x14ac:dyDescent="0.25">
      <c r="A590" s="687" t="s">
        <v>282</v>
      </c>
      <c r="B590" s="628" t="s">
        <v>281</v>
      </c>
      <c r="C590" s="630">
        <v>2017</v>
      </c>
      <c r="D590" s="629" t="s">
        <v>1236</v>
      </c>
      <c r="E590" s="629">
        <v>2018</v>
      </c>
      <c r="F590" s="630" t="s">
        <v>1236</v>
      </c>
      <c r="G590" s="631" t="s">
        <v>4</v>
      </c>
      <c r="H590" s="631">
        <v>2019</v>
      </c>
      <c r="I590" s="627" t="s">
        <v>5</v>
      </c>
      <c r="J590" s="699"/>
      <c r="K590" s="709"/>
    </row>
    <row r="591" spans="1:11" x14ac:dyDescent="0.25">
      <c r="A591" s="560"/>
      <c r="B591" s="561"/>
      <c r="C591" s="630" t="s">
        <v>6</v>
      </c>
      <c r="D591" s="634">
        <v>43069</v>
      </c>
      <c r="E591" s="631" t="s">
        <v>6</v>
      </c>
      <c r="F591" s="634">
        <v>43131</v>
      </c>
      <c r="G591" s="635" t="s">
        <v>1131</v>
      </c>
      <c r="H591" s="635" t="s">
        <v>6</v>
      </c>
      <c r="I591" s="627" t="s">
        <v>92</v>
      </c>
      <c r="J591" s="567"/>
      <c r="K591" s="568"/>
    </row>
    <row r="592" spans="1:11" x14ac:dyDescent="0.25">
      <c r="A592" s="590"/>
      <c r="B592" s="576" t="s">
        <v>93</v>
      </c>
      <c r="C592" s="564"/>
      <c r="D592" s="593"/>
      <c r="E592" s="593"/>
      <c r="F592" s="564"/>
      <c r="G592" s="581"/>
      <c r="H592" s="581"/>
      <c r="I592" s="581"/>
      <c r="J592" s="567"/>
      <c r="K592" s="568"/>
    </row>
    <row r="593" spans="1:11" x14ac:dyDescent="0.25">
      <c r="A593" s="590">
        <v>40100</v>
      </c>
      <c r="B593" s="576" t="s">
        <v>96</v>
      </c>
      <c r="C593" s="581">
        <v>42848</v>
      </c>
      <c r="D593" s="581">
        <f>35898.97+1648+1153.6+576.8</f>
        <v>39277.370000000003</v>
      </c>
      <c r="E593" s="902">
        <v>42848</v>
      </c>
      <c r="F593" s="648"/>
      <c r="G593" s="581">
        <v>42848</v>
      </c>
      <c r="H593" s="648"/>
      <c r="I593" s="639">
        <f t="shared" ref="I593:I622" si="55">F593/C593</f>
        <v>0</v>
      </c>
      <c r="J593" s="561"/>
      <c r="K593" s="568"/>
    </row>
    <row r="594" spans="1:11" x14ac:dyDescent="0.25">
      <c r="A594" s="590">
        <v>40110</v>
      </c>
      <c r="B594" s="576" t="s">
        <v>283</v>
      </c>
      <c r="C594" s="581">
        <v>4800</v>
      </c>
      <c r="D594" s="581">
        <v>0</v>
      </c>
      <c r="E594" s="902">
        <v>4800</v>
      </c>
      <c r="F594" s="648"/>
      <c r="G594" s="581">
        <v>4800</v>
      </c>
      <c r="H594" s="648"/>
      <c r="I594" s="639">
        <f t="shared" si="55"/>
        <v>0</v>
      </c>
      <c r="J594" s="710"/>
      <c r="K594" s="568"/>
    </row>
    <row r="595" spans="1:11" x14ac:dyDescent="0.25">
      <c r="A595" s="590">
        <v>41420</v>
      </c>
      <c r="B595" s="576" t="s">
        <v>1270</v>
      </c>
      <c r="C595" s="581"/>
      <c r="D595" s="581"/>
      <c r="E595" s="902">
        <v>830</v>
      </c>
      <c r="F595" s="648"/>
      <c r="G595" s="581">
        <v>830</v>
      </c>
      <c r="H595" s="648"/>
      <c r="I595" s="639"/>
      <c r="J595" s="561"/>
      <c r="K595" s="568"/>
    </row>
    <row r="596" spans="1:11" x14ac:dyDescent="0.25">
      <c r="A596" s="590">
        <v>41410</v>
      </c>
      <c r="B596" s="576" t="s">
        <v>478</v>
      </c>
      <c r="C596" s="581"/>
      <c r="D596" s="581">
        <v>131.44999999999999</v>
      </c>
      <c r="E596" s="902">
        <f>42848*0.003</f>
        <v>128.54400000000001</v>
      </c>
      <c r="F596" s="648"/>
      <c r="G596" s="902">
        <f>42848*0.003</f>
        <v>128.54400000000001</v>
      </c>
      <c r="H596" s="648"/>
      <c r="I596" s="639"/>
      <c r="J596" s="561"/>
      <c r="K596" s="568"/>
    </row>
    <row r="597" spans="1:11" x14ac:dyDescent="0.25">
      <c r="A597" s="590">
        <v>41430</v>
      </c>
      <c r="B597" s="576" t="s">
        <v>98</v>
      </c>
      <c r="C597" s="581">
        <v>0</v>
      </c>
      <c r="D597" s="581">
        <v>0</v>
      </c>
      <c r="E597" s="902">
        <v>0.01</v>
      </c>
      <c r="F597" s="648"/>
      <c r="G597" s="581">
        <v>0</v>
      </c>
      <c r="H597" s="648"/>
      <c r="I597" s="639" t="e">
        <f t="shared" si="55"/>
        <v>#DIV/0!</v>
      </c>
      <c r="J597" s="567"/>
      <c r="K597" s="568"/>
    </row>
    <row r="598" spans="1:11" x14ac:dyDescent="0.25">
      <c r="A598" s="590">
        <v>41435</v>
      </c>
      <c r="B598" s="576" t="s">
        <v>121</v>
      </c>
      <c r="C598" s="581">
        <v>4937</v>
      </c>
      <c r="D598" s="581">
        <v>4525.95</v>
      </c>
      <c r="E598" s="902">
        <v>4937</v>
      </c>
      <c r="F598" s="648"/>
      <c r="G598" s="581">
        <v>4937</v>
      </c>
      <c r="H598" s="581"/>
      <c r="I598" s="639">
        <f t="shared" si="55"/>
        <v>0</v>
      </c>
      <c r="J598" s="567"/>
      <c r="K598" s="568"/>
    </row>
    <row r="599" spans="1:11" x14ac:dyDescent="0.25">
      <c r="A599" s="590">
        <v>41440</v>
      </c>
      <c r="B599" s="576" t="s">
        <v>100</v>
      </c>
      <c r="C599" s="581">
        <v>2954</v>
      </c>
      <c r="D599" s="581">
        <v>2715.79</v>
      </c>
      <c r="E599" s="902">
        <f>42848*6.2%</f>
        <v>2656.576</v>
      </c>
      <c r="F599" s="648"/>
      <c r="G599" s="902">
        <f>42848*6.2%</f>
        <v>2656.576</v>
      </c>
      <c r="H599" s="581"/>
      <c r="I599" s="639">
        <f t="shared" si="55"/>
        <v>0</v>
      </c>
      <c r="J599" s="567"/>
      <c r="K599" s="568"/>
    </row>
    <row r="600" spans="1:11" x14ac:dyDescent="0.25">
      <c r="A600" s="590">
        <v>41450</v>
      </c>
      <c r="B600" s="576" t="s">
        <v>101</v>
      </c>
      <c r="C600" s="581">
        <v>691</v>
      </c>
      <c r="D600" s="581">
        <v>635.14</v>
      </c>
      <c r="E600" s="902">
        <f>42848*1.45%</f>
        <v>621.29599999999994</v>
      </c>
      <c r="F600" s="648"/>
      <c r="G600" s="902">
        <f>42848*1.45%</f>
        <v>621.29599999999994</v>
      </c>
      <c r="H600" s="581"/>
      <c r="I600" s="639">
        <f t="shared" si="55"/>
        <v>0</v>
      </c>
      <c r="J600" s="567"/>
      <c r="K600" s="568"/>
    </row>
    <row r="601" spans="1:11" x14ac:dyDescent="0.25">
      <c r="A601" s="590">
        <v>41470</v>
      </c>
      <c r="B601" s="576" t="s">
        <v>102</v>
      </c>
      <c r="C601" s="581">
        <v>29</v>
      </c>
      <c r="D601" s="581">
        <v>26.4</v>
      </c>
      <c r="E601" s="902">
        <v>30</v>
      </c>
      <c r="F601" s="648"/>
      <c r="G601" s="581">
        <v>30</v>
      </c>
      <c r="I601" s="639">
        <f t="shared" si="55"/>
        <v>0</v>
      </c>
      <c r="J601" s="567"/>
      <c r="K601" s="568"/>
    </row>
    <row r="602" spans="1:11" x14ac:dyDescent="0.25">
      <c r="A602" s="590">
        <v>50310</v>
      </c>
      <c r="B602" s="576" t="s">
        <v>284</v>
      </c>
      <c r="C602" s="581">
        <v>1200</v>
      </c>
      <c r="D602" s="581">
        <v>702.4</v>
      </c>
      <c r="E602" s="902">
        <v>750</v>
      </c>
      <c r="F602" s="648"/>
      <c r="G602" s="581">
        <v>750</v>
      </c>
      <c r="I602" s="639">
        <f t="shared" si="55"/>
        <v>0</v>
      </c>
      <c r="J602" s="567"/>
      <c r="K602" s="568"/>
    </row>
    <row r="603" spans="1:11" x14ac:dyDescent="0.25">
      <c r="A603" s="590">
        <v>50311</v>
      </c>
      <c r="B603" s="576" t="s">
        <v>285</v>
      </c>
      <c r="C603" s="581">
        <v>0</v>
      </c>
      <c r="D603" s="581">
        <v>0</v>
      </c>
      <c r="E603" s="902">
        <v>0</v>
      </c>
      <c r="F603" s="648"/>
      <c r="G603" s="581">
        <v>0</v>
      </c>
      <c r="I603" s="639" t="e">
        <f t="shared" si="55"/>
        <v>#DIV/0!</v>
      </c>
      <c r="J603" s="567"/>
      <c r="K603" s="568"/>
    </row>
    <row r="604" spans="1:11" x14ac:dyDescent="0.25">
      <c r="A604" s="575">
        <v>50312</v>
      </c>
      <c r="B604" s="576" t="s">
        <v>286</v>
      </c>
      <c r="C604" s="581">
        <v>0</v>
      </c>
      <c r="D604" s="581">
        <v>0</v>
      </c>
      <c r="E604" s="902">
        <v>0</v>
      </c>
      <c r="F604" s="648"/>
      <c r="G604" s="581">
        <v>0</v>
      </c>
      <c r="I604" s="639" t="e">
        <f t="shared" si="55"/>
        <v>#DIV/0!</v>
      </c>
      <c r="J604" s="567"/>
      <c r="K604" s="568"/>
    </row>
    <row r="605" spans="1:11" x14ac:dyDescent="0.25">
      <c r="A605" s="590">
        <v>53550</v>
      </c>
      <c r="B605" s="576" t="s">
        <v>287</v>
      </c>
      <c r="C605" s="581">
        <v>200</v>
      </c>
      <c r="D605" s="581">
        <v>331.24</v>
      </c>
      <c r="E605" s="902">
        <v>350</v>
      </c>
      <c r="F605" s="648"/>
      <c r="G605" s="581">
        <v>350</v>
      </c>
      <c r="I605" s="639">
        <f t="shared" si="55"/>
        <v>0</v>
      </c>
      <c r="J605" s="567"/>
      <c r="K605" s="568"/>
    </row>
    <row r="606" spans="1:11" x14ac:dyDescent="0.25">
      <c r="A606" s="575">
        <v>54110</v>
      </c>
      <c r="B606" s="576" t="s">
        <v>288</v>
      </c>
      <c r="C606" s="581">
        <v>270</v>
      </c>
      <c r="D606" s="581">
        <v>54.97</v>
      </c>
      <c r="E606" s="902">
        <v>75</v>
      </c>
      <c r="F606" s="648"/>
      <c r="G606" s="581">
        <v>75</v>
      </c>
      <c r="I606" s="639">
        <f t="shared" si="55"/>
        <v>0</v>
      </c>
      <c r="J606" s="567"/>
      <c r="K606" s="568"/>
    </row>
    <row r="607" spans="1:11" x14ac:dyDescent="0.25">
      <c r="A607" s="590">
        <v>54212</v>
      </c>
      <c r="B607" s="576" t="s">
        <v>289</v>
      </c>
      <c r="C607" s="581">
        <v>200</v>
      </c>
      <c r="D607" s="581">
        <v>541.36</v>
      </c>
      <c r="E607" s="902">
        <v>0</v>
      </c>
      <c r="F607" s="648"/>
      <c r="G607" s="581">
        <v>0</v>
      </c>
      <c r="I607" s="639">
        <f t="shared" si="55"/>
        <v>0</v>
      </c>
      <c r="J607" s="567"/>
      <c r="K607" s="568"/>
    </row>
    <row r="608" spans="1:11" x14ac:dyDescent="0.25">
      <c r="A608" s="590">
        <v>59120</v>
      </c>
      <c r="B608" s="576" t="s">
        <v>290</v>
      </c>
      <c r="C608" s="581">
        <v>250</v>
      </c>
      <c r="D608" s="581">
        <v>0</v>
      </c>
      <c r="E608" s="902">
        <v>250</v>
      </c>
      <c r="F608" s="648"/>
      <c r="G608" s="581">
        <v>250</v>
      </c>
      <c r="I608" s="639">
        <f t="shared" si="55"/>
        <v>0</v>
      </c>
      <c r="J608" s="567"/>
      <c r="K608" s="568"/>
    </row>
    <row r="609" spans="1:11" x14ac:dyDescent="0.25">
      <c r="A609" s="590">
        <v>60000</v>
      </c>
      <c r="B609" s="576" t="s">
        <v>291</v>
      </c>
      <c r="C609" s="581">
        <v>100</v>
      </c>
      <c r="D609" s="581">
        <v>278.20999999999998</v>
      </c>
      <c r="E609" s="902">
        <v>300</v>
      </c>
      <c r="F609" s="648"/>
      <c r="G609" s="581">
        <v>300</v>
      </c>
      <c r="I609" s="639">
        <f t="shared" si="55"/>
        <v>0</v>
      </c>
      <c r="J609" s="567"/>
      <c r="K609" s="568"/>
    </row>
    <row r="610" spans="1:11" x14ac:dyDescent="0.25">
      <c r="A610" s="590">
        <v>61200</v>
      </c>
      <c r="B610" s="576" t="s">
        <v>107</v>
      </c>
      <c r="C610" s="581">
        <v>100</v>
      </c>
      <c r="D610" s="581">
        <v>73</v>
      </c>
      <c r="E610" s="902">
        <v>100</v>
      </c>
      <c r="F610" s="648"/>
      <c r="G610" s="581">
        <v>100</v>
      </c>
      <c r="I610" s="639">
        <f t="shared" si="55"/>
        <v>0</v>
      </c>
      <c r="J610" s="567"/>
      <c r="K610" s="568"/>
    </row>
    <row r="611" spans="1:11" x14ac:dyDescent="0.25">
      <c r="A611" s="590">
        <v>63421</v>
      </c>
      <c r="B611" s="576" t="s">
        <v>292</v>
      </c>
      <c r="C611" s="581">
        <v>0</v>
      </c>
      <c r="D611" s="581">
        <v>0</v>
      </c>
      <c r="E611" s="902">
        <v>0.01</v>
      </c>
      <c r="F611" s="648"/>
      <c r="G611" s="581">
        <v>0</v>
      </c>
      <c r="I611" s="639" t="e">
        <f t="shared" si="55"/>
        <v>#DIV/0!</v>
      </c>
      <c r="J611" s="567"/>
      <c r="K611" s="568"/>
    </row>
    <row r="612" spans="1:11" x14ac:dyDescent="0.25">
      <c r="A612" s="590">
        <v>62500</v>
      </c>
      <c r="B612" s="576" t="s">
        <v>109</v>
      </c>
      <c r="C612" s="581">
        <v>1000</v>
      </c>
      <c r="D612" s="581">
        <v>0</v>
      </c>
      <c r="E612" s="902">
        <v>100</v>
      </c>
      <c r="F612" s="648"/>
      <c r="G612" s="581">
        <v>100</v>
      </c>
      <c r="I612" s="639">
        <f t="shared" si="55"/>
        <v>0</v>
      </c>
      <c r="J612" s="567"/>
      <c r="K612" s="568"/>
    </row>
    <row r="613" spans="1:11" x14ac:dyDescent="0.25">
      <c r="A613" s="590">
        <v>62510</v>
      </c>
      <c r="B613" s="576" t="s">
        <v>110</v>
      </c>
      <c r="C613" s="581">
        <v>150</v>
      </c>
      <c r="D613" s="581">
        <v>222.66</v>
      </c>
      <c r="E613" s="902">
        <v>150</v>
      </c>
      <c r="F613" s="648"/>
      <c r="G613" s="581">
        <v>150</v>
      </c>
      <c r="I613" s="639">
        <f t="shared" si="55"/>
        <v>0</v>
      </c>
      <c r="J613" s="567"/>
      <c r="K613" s="568"/>
    </row>
    <row r="614" spans="1:11" x14ac:dyDescent="0.25">
      <c r="A614" s="590">
        <v>62530</v>
      </c>
      <c r="B614" s="576" t="s">
        <v>171</v>
      </c>
      <c r="C614" s="581">
        <v>800</v>
      </c>
      <c r="D614" s="581">
        <v>756.24</v>
      </c>
      <c r="E614" s="902">
        <v>800</v>
      </c>
      <c r="F614" s="648"/>
      <c r="G614" s="581">
        <v>800</v>
      </c>
      <c r="I614" s="639">
        <f t="shared" si="55"/>
        <v>0</v>
      </c>
      <c r="J614" s="567"/>
      <c r="K614" s="568"/>
    </row>
    <row r="615" spans="1:11" x14ac:dyDescent="0.25">
      <c r="A615" s="590">
        <v>62550</v>
      </c>
      <c r="B615" s="576" t="s">
        <v>184</v>
      </c>
      <c r="C615" s="581">
        <v>400</v>
      </c>
      <c r="D615" s="581">
        <v>440</v>
      </c>
      <c r="E615" s="902">
        <v>400</v>
      </c>
      <c r="F615" s="648"/>
      <c r="G615" s="581">
        <v>400</v>
      </c>
      <c r="I615" s="639">
        <f t="shared" si="55"/>
        <v>0</v>
      </c>
      <c r="J615" s="567"/>
      <c r="K615" s="568"/>
    </row>
    <row r="616" spans="1:11" x14ac:dyDescent="0.25">
      <c r="A616" s="590">
        <v>63100</v>
      </c>
      <c r="B616" s="576" t="s">
        <v>293</v>
      </c>
      <c r="C616" s="581">
        <v>0</v>
      </c>
      <c r="D616" s="581">
        <v>0</v>
      </c>
      <c r="E616" s="902">
        <v>50</v>
      </c>
      <c r="F616" s="648"/>
      <c r="G616" s="581">
        <v>50</v>
      </c>
      <c r="I616" s="639" t="e">
        <f t="shared" si="55"/>
        <v>#DIV/0!</v>
      </c>
      <c r="J616" s="567"/>
      <c r="K616" s="568"/>
    </row>
    <row r="617" spans="1:11" x14ac:dyDescent="0.25">
      <c r="A617" s="590">
        <v>64100</v>
      </c>
      <c r="B617" s="576" t="s">
        <v>294</v>
      </c>
      <c r="C617" s="581">
        <v>1000</v>
      </c>
      <c r="D617" s="581">
        <v>483.65</v>
      </c>
      <c r="E617" s="902">
        <v>500</v>
      </c>
      <c r="F617" s="648"/>
      <c r="G617" s="581">
        <v>500</v>
      </c>
      <c r="I617" s="639">
        <f t="shared" si="55"/>
        <v>0</v>
      </c>
      <c r="J617" s="567"/>
      <c r="K617" s="568"/>
    </row>
    <row r="618" spans="1:11" x14ac:dyDescent="0.25">
      <c r="A618" s="590">
        <v>65500</v>
      </c>
      <c r="B618" s="576" t="s">
        <v>187</v>
      </c>
      <c r="C618" s="581">
        <v>65</v>
      </c>
      <c r="D618" s="581">
        <v>2.44</v>
      </c>
      <c r="E618" s="902">
        <v>10</v>
      </c>
      <c r="F618" s="648"/>
      <c r="G618" s="581">
        <v>10</v>
      </c>
      <c r="I618" s="639">
        <f t="shared" si="55"/>
        <v>0</v>
      </c>
      <c r="J618" s="567"/>
      <c r="K618" s="568"/>
    </row>
    <row r="619" spans="1:11" x14ac:dyDescent="0.25">
      <c r="A619" s="590">
        <v>68000</v>
      </c>
      <c r="B619" s="576" t="s">
        <v>295</v>
      </c>
      <c r="C619" s="581">
        <v>100</v>
      </c>
      <c r="D619" s="581">
        <v>0</v>
      </c>
      <c r="E619" s="902">
        <v>100</v>
      </c>
      <c r="F619" s="648"/>
      <c r="G619" s="581">
        <v>100</v>
      </c>
      <c r="I619" s="639">
        <f t="shared" si="55"/>
        <v>0</v>
      </c>
      <c r="J619" s="567"/>
      <c r="K619" s="568"/>
    </row>
    <row r="620" spans="1:11" x14ac:dyDescent="0.25">
      <c r="A620" s="590">
        <v>68010</v>
      </c>
      <c r="B620" s="576" t="s">
        <v>166</v>
      </c>
      <c r="C620" s="581">
        <v>600</v>
      </c>
      <c r="D620" s="581">
        <v>385</v>
      </c>
      <c r="E620" s="902">
        <v>400</v>
      </c>
      <c r="F620" s="648"/>
      <c r="G620" s="581">
        <v>400</v>
      </c>
      <c r="I620" s="639">
        <f t="shared" si="55"/>
        <v>0</v>
      </c>
      <c r="J620" s="567"/>
      <c r="K620" s="568"/>
    </row>
    <row r="621" spans="1:11" x14ac:dyDescent="0.25">
      <c r="A621" s="590">
        <v>68020</v>
      </c>
      <c r="B621" s="576" t="s">
        <v>296</v>
      </c>
      <c r="C621" s="581">
        <v>160</v>
      </c>
      <c r="D621" s="581">
        <v>0</v>
      </c>
      <c r="E621" s="902">
        <v>160</v>
      </c>
      <c r="F621" s="648"/>
      <c r="G621" s="581">
        <v>160</v>
      </c>
      <c r="I621" s="639">
        <f t="shared" si="55"/>
        <v>0</v>
      </c>
      <c r="J621" s="567"/>
      <c r="K621" s="568"/>
    </row>
    <row r="622" spans="1:11" x14ac:dyDescent="0.25">
      <c r="A622" s="560"/>
      <c r="B622" s="561" t="s">
        <v>116</v>
      </c>
      <c r="C622" s="563">
        <f t="shared" ref="C622:H622" si="56">SUM(C593:C621)</f>
        <v>62854</v>
      </c>
      <c r="D622" s="563">
        <f t="shared" si="56"/>
        <v>51583.270000000004</v>
      </c>
      <c r="E622" s="954">
        <f t="shared" si="56"/>
        <v>61346.436000000009</v>
      </c>
      <c r="F622" s="683">
        <f t="shared" si="56"/>
        <v>0</v>
      </c>
      <c r="G622" s="616">
        <f t="shared" si="56"/>
        <v>61346.416000000005</v>
      </c>
      <c r="H622" s="616">
        <f t="shared" si="56"/>
        <v>0</v>
      </c>
      <c r="I622" s="639">
        <f t="shared" si="55"/>
        <v>0</v>
      </c>
      <c r="J622" s="567"/>
      <c r="K622" s="568"/>
    </row>
    <row r="623" spans="1:11" s="569" customFormat="1" x14ac:dyDescent="0.25">
      <c r="A623" s="590"/>
      <c r="B623" s="576"/>
      <c r="C623" s="564"/>
      <c r="D623" s="576"/>
      <c r="E623" s="576"/>
      <c r="F623" s="564"/>
      <c r="G623" s="581"/>
      <c r="H623" s="581"/>
      <c r="I623" s="581"/>
      <c r="J623" s="567"/>
      <c r="K623" s="568"/>
    </row>
    <row r="624" spans="1:11" x14ac:dyDescent="0.25">
      <c r="A624" s="764" t="s">
        <v>1129</v>
      </c>
      <c r="B624" s="738" t="s">
        <v>444</v>
      </c>
      <c r="C624" s="630">
        <v>2017</v>
      </c>
      <c r="D624" s="629" t="s">
        <v>1236</v>
      </c>
      <c r="E624" s="629">
        <v>2018</v>
      </c>
      <c r="F624" s="630" t="s">
        <v>1236</v>
      </c>
      <c r="G624" s="631" t="s">
        <v>4</v>
      </c>
      <c r="H624" s="631">
        <v>2019</v>
      </c>
      <c r="I624" s="627" t="s">
        <v>341</v>
      </c>
      <c r="J624" s="737"/>
      <c r="K624" s="737"/>
    </row>
    <row r="625" spans="1:11" x14ac:dyDescent="0.25">
      <c r="A625" s="575"/>
      <c r="B625" s="582" t="s">
        <v>93</v>
      </c>
      <c r="C625" s="630" t="s">
        <v>6</v>
      </c>
      <c r="D625" s="634">
        <v>43069</v>
      </c>
      <c r="E625" s="629" t="s">
        <v>6</v>
      </c>
      <c r="F625" s="634">
        <v>43131</v>
      </c>
      <c r="G625" s="635" t="s">
        <v>1131</v>
      </c>
      <c r="H625" s="635" t="s">
        <v>6</v>
      </c>
      <c r="I625" s="627" t="s">
        <v>92</v>
      </c>
      <c r="J625" s="737"/>
      <c r="K625" s="737"/>
    </row>
    <row r="626" spans="1:11" s="569" customFormat="1" x14ac:dyDescent="0.25">
      <c r="A626" s="575">
        <v>51330</v>
      </c>
      <c r="B626" s="582" t="s">
        <v>445</v>
      </c>
      <c r="C626" s="562">
        <v>100000</v>
      </c>
      <c r="D626" s="611">
        <v>109362.51</v>
      </c>
      <c r="E626" s="959">
        <f>375000+30000+50000-28000</f>
        <v>427000</v>
      </c>
      <c r="F626" s="582"/>
      <c r="G626" s="581">
        <v>427000</v>
      </c>
      <c r="H626" s="581"/>
      <c r="I626" s="639">
        <f>F626/C626</f>
        <v>0</v>
      </c>
      <c r="J626" s="737"/>
      <c r="K626" s="737"/>
    </row>
    <row r="627" spans="1:11" s="569" customFormat="1" x14ac:dyDescent="0.25">
      <c r="A627" s="575">
        <v>59352</v>
      </c>
      <c r="B627" s="582" t="s">
        <v>446</v>
      </c>
      <c r="C627" s="562">
        <v>3000</v>
      </c>
      <c r="D627" s="611">
        <v>13897.99</v>
      </c>
      <c r="E627" s="959">
        <v>0</v>
      </c>
      <c r="F627" s="582"/>
      <c r="G627" s="581">
        <v>0</v>
      </c>
      <c r="H627" s="581"/>
      <c r="I627" s="639">
        <f>F627/C627</f>
        <v>0</v>
      </c>
      <c r="J627" s="737"/>
      <c r="K627" s="737"/>
    </row>
    <row r="628" spans="1:11" s="569" customFormat="1" x14ac:dyDescent="0.25">
      <c r="A628" s="575">
        <v>64120</v>
      </c>
      <c r="B628" s="582" t="s">
        <v>447</v>
      </c>
      <c r="C628" s="562">
        <v>1600</v>
      </c>
      <c r="D628" s="611">
        <v>15704.58</v>
      </c>
      <c r="E628" s="959">
        <v>0</v>
      </c>
      <c r="F628" s="582"/>
      <c r="G628" s="581">
        <v>0</v>
      </c>
      <c r="H628" s="581"/>
      <c r="I628" s="639">
        <f>F628/C628</f>
        <v>0</v>
      </c>
      <c r="J628" s="737"/>
      <c r="K628" s="737"/>
    </row>
    <row r="629" spans="1:11" s="569" customFormat="1" x14ac:dyDescent="0.25">
      <c r="A629" s="575"/>
      <c r="B629" s="561" t="s">
        <v>116</v>
      </c>
      <c r="C629" s="563">
        <f>SUM(C626:C628)</f>
        <v>104600</v>
      </c>
      <c r="D629" s="616">
        <f t="shared" ref="D629:H629" si="57">SUM(D626:D628)</f>
        <v>138965.07999999999</v>
      </c>
      <c r="E629" s="955">
        <f>SUM(E626:E628)</f>
        <v>427000</v>
      </c>
      <c r="F629" s="616">
        <f t="shared" si="57"/>
        <v>0</v>
      </c>
      <c r="G629" s="616">
        <f>SUM(G626:G628)</f>
        <v>427000</v>
      </c>
      <c r="H629" s="616">
        <f t="shared" si="57"/>
        <v>0</v>
      </c>
      <c r="I629" s="639">
        <f>F629/C629</f>
        <v>0</v>
      </c>
      <c r="J629" s="737"/>
      <c r="K629" s="737"/>
    </row>
    <row r="630" spans="1:11" s="569" customFormat="1" x14ac:dyDescent="0.25">
      <c r="A630" s="590"/>
      <c r="B630" s="576"/>
      <c r="C630" s="564"/>
      <c r="D630" s="581"/>
      <c r="E630" s="901"/>
      <c r="F630" s="564"/>
      <c r="G630" s="581"/>
      <c r="H630" s="581"/>
      <c r="I630" s="581"/>
      <c r="J630" s="567"/>
      <c r="K630" s="568"/>
    </row>
    <row r="631" spans="1:11" x14ac:dyDescent="0.25">
      <c r="A631" s="560"/>
      <c r="B631" s="561"/>
      <c r="C631" s="564"/>
      <c r="D631" s="576"/>
      <c r="E631" s="576"/>
      <c r="F631" s="564"/>
      <c r="G631" s="581"/>
      <c r="H631" s="581"/>
      <c r="I631" s="581"/>
      <c r="J631" s="567"/>
      <c r="K631" s="568"/>
    </row>
    <row r="632" spans="1:11" x14ac:dyDescent="0.25">
      <c r="A632" s="687" t="s">
        <v>298</v>
      </c>
      <c r="B632" s="688" t="s">
        <v>297</v>
      </c>
      <c r="C632" s="630">
        <v>2017</v>
      </c>
      <c r="D632" s="629" t="s">
        <v>1236</v>
      </c>
      <c r="E632" s="629">
        <v>2018</v>
      </c>
      <c r="F632" s="630" t="s">
        <v>1236</v>
      </c>
      <c r="G632" s="631" t="s">
        <v>4</v>
      </c>
      <c r="H632" s="631">
        <v>2019</v>
      </c>
      <c r="I632" s="627" t="s">
        <v>5</v>
      </c>
      <c r="J632" s="567"/>
      <c r="K632" s="568"/>
    </row>
    <row r="633" spans="1:11" x14ac:dyDescent="0.25">
      <c r="A633" s="590"/>
      <c r="B633" s="576" t="s">
        <v>93</v>
      </c>
      <c r="C633" s="630" t="s">
        <v>6</v>
      </c>
      <c r="D633" s="634">
        <v>43069</v>
      </c>
      <c r="E633" s="631" t="s">
        <v>6</v>
      </c>
      <c r="F633" s="634">
        <v>43131</v>
      </c>
      <c r="G633" s="635" t="s">
        <v>1131</v>
      </c>
      <c r="H633" s="635" t="s">
        <v>6</v>
      </c>
      <c r="I633" s="627" t="s">
        <v>92</v>
      </c>
      <c r="J633" s="567"/>
      <c r="K633" s="568"/>
    </row>
    <row r="634" spans="1:11" x14ac:dyDescent="0.25">
      <c r="A634" s="590"/>
      <c r="B634" s="576"/>
      <c r="C634" s="578"/>
      <c r="D634" s="593"/>
      <c r="E634" s="593"/>
      <c r="F634" s="564"/>
      <c r="G634" s="581"/>
      <c r="H634" s="581"/>
      <c r="I634" s="581"/>
      <c r="J634" s="567"/>
      <c r="K634" s="568"/>
    </row>
    <row r="635" spans="1:11" x14ac:dyDescent="0.25">
      <c r="A635" s="590">
        <v>40000</v>
      </c>
      <c r="B635" s="576" t="s">
        <v>300</v>
      </c>
      <c r="C635" s="562">
        <v>2000</v>
      </c>
      <c r="D635" s="562">
        <v>3084</v>
      </c>
      <c r="E635" s="581">
        <v>2000</v>
      </c>
      <c r="F635" s="683"/>
      <c r="G635" s="562">
        <v>2000</v>
      </c>
      <c r="H635" s="648"/>
      <c r="I635" s="639">
        <f t="shared" ref="I635:I656" si="58">F635/C635</f>
        <v>0</v>
      </c>
      <c r="J635" s="567"/>
      <c r="K635" s="568"/>
    </row>
    <row r="636" spans="1:11" x14ac:dyDescent="0.25">
      <c r="A636" s="590">
        <v>40001</v>
      </c>
      <c r="B636" s="576" t="s">
        <v>95</v>
      </c>
      <c r="C636" s="562">
        <v>1000</v>
      </c>
      <c r="D636" s="562">
        <v>4308.26</v>
      </c>
      <c r="E636" s="562">
        <v>1800</v>
      </c>
      <c r="F636" s="648"/>
      <c r="G636" s="562">
        <v>1800</v>
      </c>
      <c r="H636" s="648"/>
      <c r="I636" s="639">
        <f t="shared" si="58"/>
        <v>0</v>
      </c>
      <c r="J636" s="649"/>
      <c r="K636" s="638"/>
    </row>
    <row r="637" spans="1:11" x14ac:dyDescent="0.25">
      <c r="A637" s="590">
        <v>40002</v>
      </c>
      <c r="B637" s="576" t="s">
        <v>1294</v>
      </c>
      <c r="C637" s="562"/>
      <c r="D637" s="562"/>
      <c r="E637" s="562">
        <v>111997</v>
      </c>
      <c r="F637" s="648"/>
      <c r="G637" s="562">
        <v>111997</v>
      </c>
      <c r="H637" s="648"/>
      <c r="I637" s="639"/>
      <c r="J637" s="649"/>
      <c r="K637" s="638"/>
    </row>
    <row r="638" spans="1:11" x14ac:dyDescent="0.25">
      <c r="A638" s="590">
        <v>40003</v>
      </c>
      <c r="B638" s="576" t="s">
        <v>301</v>
      </c>
      <c r="C638" s="562"/>
      <c r="D638" s="562">
        <v>0</v>
      </c>
      <c r="E638" s="581">
        <v>0.01</v>
      </c>
      <c r="F638" s="648"/>
      <c r="G638" s="562">
        <v>0</v>
      </c>
      <c r="H638" s="648"/>
      <c r="I638" s="639" t="e">
        <f t="shared" si="58"/>
        <v>#DIV/0!</v>
      </c>
      <c r="J638" s="567"/>
      <c r="K638" s="568"/>
    </row>
    <row r="639" spans="1:11" x14ac:dyDescent="0.25">
      <c r="A639" s="590">
        <v>40004</v>
      </c>
      <c r="B639" s="576" t="s">
        <v>302</v>
      </c>
      <c r="C639" s="562"/>
      <c r="D639" s="562">
        <v>0</v>
      </c>
      <c r="E639" s="581">
        <v>0.01</v>
      </c>
      <c r="F639" s="648"/>
      <c r="G639" s="562">
        <v>0</v>
      </c>
      <c r="H639" s="648"/>
      <c r="I639" s="639" t="e">
        <f t="shared" si="58"/>
        <v>#DIV/0!</v>
      </c>
      <c r="J639" s="567"/>
      <c r="K639" s="568"/>
    </row>
    <row r="640" spans="1:11" x14ac:dyDescent="0.25">
      <c r="A640" s="590">
        <v>69425</v>
      </c>
      <c r="B640" s="576" t="s">
        <v>299</v>
      </c>
      <c r="C640" s="562">
        <v>50000</v>
      </c>
      <c r="D640" s="562">
        <v>49786.05</v>
      </c>
      <c r="E640" s="902">
        <v>50000</v>
      </c>
      <c r="F640" s="648"/>
      <c r="G640" s="562">
        <v>50000</v>
      </c>
      <c r="H640" s="648"/>
      <c r="I640" s="639">
        <f t="shared" si="58"/>
        <v>0</v>
      </c>
      <c r="J640" s="567"/>
      <c r="K640" s="568"/>
    </row>
    <row r="641" spans="1:11" x14ac:dyDescent="0.25">
      <c r="A641" s="590">
        <v>90000</v>
      </c>
      <c r="B641" s="576" t="s">
        <v>303</v>
      </c>
      <c r="C641" s="562">
        <v>3000</v>
      </c>
      <c r="D641" s="562">
        <v>3000</v>
      </c>
      <c r="E641" s="581">
        <v>3000</v>
      </c>
      <c r="F641" s="648"/>
      <c r="G641" s="562">
        <v>3000</v>
      </c>
      <c r="H641" s="648"/>
      <c r="I641" s="639">
        <f t="shared" si="58"/>
        <v>0</v>
      </c>
      <c r="J641" s="567"/>
      <c r="K641" s="568"/>
    </row>
    <row r="642" spans="1:11" x14ac:dyDescent="0.25">
      <c r="A642" s="590">
        <v>90000</v>
      </c>
      <c r="B642" s="576" t="s">
        <v>304</v>
      </c>
      <c r="C642" s="562">
        <v>15000</v>
      </c>
      <c r="D642" s="562">
        <v>150000</v>
      </c>
      <c r="E642" s="562">
        <v>0</v>
      </c>
      <c r="F642" s="648"/>
      <c r="G642" s="562">
        <v>0</v>
      </c>
      <c r="H642" s="648"/>
      <c r="I642" s="639">
        <f t="shared" si="58"/>
        <v>0</v>
      </c>
      <c r="J642" s="567"/>
      <c r="K642" s="568"/>
    </row>
    <row r="643" spans="1:11" x14ac:dyDescent="0.25">
      <c r="A643" s="590">
        <v>90000</v>
      </c>
      <c r="B643" s="576" t="s">
        <v>305</v>
      </c>
      <c r="C643" s="562">
        <v>5000</v>
      </c>
      <c r="D643" s="562">
        <v>10000</v>
      </c>
      <c r="E643" s="562">
        <v>0</v>
      </c>
      <c r="F643" s="648"/>
      <c r="G643" s="562">
        <v>0</v>
      </c>
      <c r="H643" s="648"/>
      <c r="I643" s="639">
        <f t="shared" si="58"/>
        <v>0</v>
      </c>
      <c r="J643" s="655"/>
      <c r="K643" s="568"/>
    </row>
    <row r="644" spans="1:11" x14ac:dyDescent="0.25">
      <c r="A644" s="590">
        <v>90000</v>
      </c>
      <c r="B644" s="576" t="s">
        <v>306</v>
      </c>
      <c r="C644" s="562"/>
      <c r="D644" s="562">
        <v>0</v>
      </c>
      <c r="E644" s="562">
        <v>0.01</v>
      </c>
      <c r="F644" s="648"/>
      <c r="G644" s="562">
        <v>0</v>
      </c>
      <c r="H644" s="648"/>
      <c r="I644" s="639" t="e">
        <f t="shared" si="58"/>
        <v>#DIV/0!</v>
      </c>
      <c r="J644" s="567"/>
      <c r="K644" s="568"/>
    </row>
    <row r="645" spans="1:11" x14ac:dyDescent="0.25">
      <c r="A645" s="590">
        <v>90000</v>
      </c>
      <c r="B645" s="576" t="s">
        <v>307</v>
      </c>
      <c r="C645" s="562">
        <v>43000</v>
      </c>
      <c r="D645" s="562">
        <v>43000</v>
      </c>
      <c r="E645" s="562"/>
      <c r="F645" s="648"/>
      <c r="G645" s="562"/>
      <c r="H645" s="648"/>
      <c r="I645" s="639">
        <f t="shared" si="58"/>
        <v>0</v>
      </c>
      <c r="J645" s="567"/>
      <c r="K645" s="568"/>
    </row>
    <row r="646" spans="1:11" x14ac:dyDescent="0.25">
      <c r="A646" s="590">
        <v>90000</v>
      </c>
      <c r="B646" s="576" t="s">
        <v>308</v>
      </c>
      <c r="C646" s="562">
        <v>20000</v>
      </c>
      <c r="D646" s="562">
        <v>28000</v>
      </c>
      <c r="E646" s="562">
        <v>28000</v>
      </c>
      <c r="F646" s="648"/>
      <c r="G646" s="562">
        <v>28000</v>
      </c>
      <c r="H646" s="648"/>
      <c r="I646" s="639">
        <f t="shared" si="58"/>
        <v>0</v>
      </c>
      <c r="J646" s="666"/>
      <c r="K646" s="568"/>
    </row>
    <row r="647" spans="1:11" x14ac:dyDescent="0.25">
      <c r="A647" s="590">
        <v>90000</v>
      </c>
      <c r="B647" s="576" t="s">
        <v>309</v>
      </c>
      <c r="C647" s="562"/>
      <c r="D647" s="562">
        <v>0</v>
      </c>
      <c r="E647" s="562">
        <v>0</v>
      </c>
      <c r="F647" s="648"/>
      <c r="G647" s="562">
        <v>0</v>
      </c>
      <c r="H647" s="648"/>
      <c r="I647" s="639" t="e">
        <f t="shared" si="58"/>
        <v>#DIV/0!</v>
      </c>
      <c r="J647" s="655"/>
      <c r="K647" s="568"/>
    </row>
    <row r="648" spans="1:11" x14ac:dyDescent="0.25">
      <c r="A648" s="590">
        <v>90000</v>
      </c>
      <c r="B648" s="576" t="s">
        <v>310</v>
      </c>
      <c r="C648" s="562">
        <v>445000</v>
      </c>
      <c r="D648" s="562">
        <v>349000</v>
      </c>
      <c r="E648" s="562">
        <v>420000</v>
      </c>
      <c r="F648" s="648"/>
      <c r="G648" s="562">
        <v>420000</v>
      </c>
      <c r="H648" s="672"/>
      <c r="I648" s="639">
        <f t="shared" si="58"/>
        <v>0</v>
      </c>
      <c r="J648" s="697"/>
      <c r="K648" s="568"/>
    </row>
    <row r="649" spans="1:11" x14ac:dyDescent="0.25">
      <c r="A649" s="590">
        <v>90000</v>
      </c>
      <c r="B649" s="576" t="s">
        <v>311</v>
      </c>
      <c r="C649" s="562"/>
      <c r="D649" s="562">
        <v>18295</v>
      </c>
      <c r="E649" s="562">
        <v>18295</v>
      </c>
      <c r="F649" s="648"/>
      <c r="G649" s="562">
        <v>18295</v>
      </c>
      <c r="H649" s="672"/>
      <c r="I649" s="639" t="e">
        <f t="shared" si="58"/>
        <v>#DIV/0!</v>
      </c>
      <c r="J649" s="666"/>
      <c r="K649" s="568"/>
    </row>
    <row r="650" spans="1:11" x14ac:dyDescent="0.25">
      <c r="A650" s="590">
        <v>90000</v>
      </c>
      <c r="B650" s="576" t="s">
        <v>312</v>
      </c>
      <c r="C650" s="562"/>
      <c r="D650" s="562">
        <v>50000</v>
      </c>
      <c r="E650" s="562">
        <v>0</v>
      </c>
      <c r="F650" s="648"/>
      <c r="G650" s="562"/>
      <c r="H650" s="672"/>
      <c r="I650" s="639" t="e">
        <f t="shared" si="58"/>
        <v>#DIV/0!</v>
      </c>
      <c r="J650" s="666"/>
      <c r="K650" s="568"/>
    </row>
    <row r="651" spans="1:11" x14ac:dyDescent="0.25">
      <c r="A651" s="590">
        <v>90000</v>
      </c>
      <c r="B651" s="576" t="s">
        <v>1295</v>
      </c>
      <c r="C651" s="562"/>
      <c r="D651" s="562">
        <v>0</v>
      </c>
      <c r="E651" s="562"/>
      <c r="F651" s="648"/>
      <c r="G651" s="562"/>
      <c r="H651" s="648"/>
      <c r="I651" s="639" t="e">
        <f t="shared" si="58"/>
        <v>#DIV/0!</v>
      </c>
      <c r="J651" s="655"/>
      <c r="K651" s="568"/>
    </row>
    <row r="652" spans="1:11" x14ac:dyDescent="0.25">
      <c r="A652" s="590">
        <v>90003</v>
      </c>
      <c r="B652" s="576" t="s">
        <v>313</v>
      </c>
      <c r="C652" s="562">
        <v>5000</v>
      </c>
      <c r="D652" s="562">
        <v>5000</v>
      </c>
      <c r="E652" s="562">
        <v>0</v>
      </c>
      <c r="F652" s="648"/>
      <c r="G652" s="562"/>
      <c r="H652" s="648"/>
      <c r="I652" s="639">
        <f t="shared" si="58"/>
        <v>0</v>
      </c>
      <c r="J652" s="567"/>
      <c r="K652" s="568"/>
    </row>
    <row r="653" spans="1:11" x14ac:dyDescent="0.25">
      <c r="A653" s="590">
        <v>90019</v>
      </c>
      <c r="B653" s="576" t="s">
        <v>314</v>
      </c>
      <c r="C653" s="562">
        <v>300</v>
      </c>
      <c r="D653" s="562">
        <v>1659</v>
      </c>
      <c r="E653" s="581">
        <v>300</v>
      </c>
      <c r="F653" s="648"/>
      <c r="G653" s="562">
        <v>300</v>
      </c>
      <c r="H653" s="648"/>
      <c r="I653" s="639">
        <f t="shared" si="58"/>
        <v>0</v>
      </c>
      <c r="J653" s="567"/>
      <c r="K653" s="568"/>
    </row>
    <row r="654" spans="1:11" x14ac:dyDescent="0.25">
      <c r="A654" s="590">
        <v>90020</v>
      </c>
      <c r="B654" s="576" t="s">
        <v>315</v>
      </c>
      <c r="C654" s="562"/>
      <c r="D654" s="562">
        <v>-876.8</v>
      </c>
      <c r="E654" s="581">
        <v>0.01</v>
      </c>
      <c r="F654" s="648"/>
      <c r="G654" s="562">
        <v>0</v>
      </c>
      <c r="H654" s="648"/>
      <c r="I654" s="639" t="e">
        <f t="shared" si="58"/>
        <v>#DIV/0!</v>
      </c>
      <c r="J654" s="567"/>
      <c r="K654" s="568"/>
    </row>
    <row r="655" spans="1:11" x14ac:dyDescent="0.25">
      <c r="A655" s="590">
        <v>90021</v>
      </c>
      <c r="B655" s="576" t="s">
        <v>316</v>
      </c>
      <c r="C655" s="562"/>
      <c r="D655" s="562">
        <v>0</v>
      </c>
      <c r="E655" s="581">
        <v>0.01</v>
      </c>
      <c r="F655" s="648"/>
      <c r="G655" s="562">
        <v>0</v>
      </c>
      <c r="H655" s="648"/>
      <c r="I655" s="639" t="e">
        <f t="shared" si="58"/>
        <v>#DIV/0!</v>
      </c>
      <c r="J655" s="655"/>
      <c r="K655" s="568"/>
    </row>
    <row r="656" spans="1:11" x14ac:dyDescent="0.25">
      <c r="A656" s="560"/>
      <c r="B656" s="561" t="s">
        <v>116</v>
      </c>
      <c r="C656" s="616">
        <f>SUM(C635:C655)</f>
        <v>589300</v>
      </c>
      <c r="D656" s="563">
        <f t="shared" ref="D656:H656" si="59">SUM(D635:D655)</f>
        <v>714255.51</v>
      </c>
      <c r="E656" s="563">
        <f>SUM(E635:E655)</f>
        <v>635392.05000000005</v>
      </c>
      <c r="F656" s="683">
        <f t="shared" si="59"/>
        <v>0</v>
      </c>
      <c r="G656" s="616">
        <f>SUM(G635:G655)</f>
        <v>635392</v>
      </c>
      <c r="H656" s="616">
        <f t="shared" si="59"/>
        <v>0</v>
      </c>
      <c r="I656" s="639">
        <f t="shared" si="58"/>
        <v>0</v>
      </c>
      <c r="J656" s="567"/>
      <c r="K656" s="568"/>
    </row>
    <row r="657" spans="1:11" s="569" customFormat="1" x14ac:dyDescent="0.25">
      <c r="A657" s="560"/>
      <c r="B657" s="561"/>
      <c r="C657" s="564"/>
      <c r="D657" s="581"/>
      <c r="E657" s="576"/>
      <c r="F657" s="564"/>
      <c r="G657" s="581"/>
      <c r="H657" s="581"/>
      <c r="I657" s="581"/>
      <c r="J657" s="567"/>
      <c r="K657" s="568"/>
    </row>
    <row r="658" spans="1:11" x14ac:dyDescent="0.25">
      <c r="A658" s="687" t="s">
        <v>318</v>
      </c>
      <c r="B658" s="628" t="s">
        <v>317</v>
      </c>
      <c r="C658" s="630">
        <v>2017</v>
      </c>
      <c r="D658" s="629" t="s">
        <v>1236</v>
      </c>
      <c r="E658" s="629">
        <v>2018</v>
      </c>
      <c r="F658" s="630" t="s">
        <v>1236</v>
      </c>
      <c r="G658" s="631" t="s">
        <v>4</v>
      </c>
      <c r="H658" s="631">
        <v>2019</v>
      </c>
      <c r="I658" s="627" t="s">
        <v>5</v>
      </c>
      <c r="J658" s="567"/>
      <c r="K658" s="568"/>
    </row>
    <row r="659" spans="1:11" x14ac:dyDescent="0.25">
      <c r="A659" s="560"/>
      <c r="B659" s="561"/>
      <c r="C659" s="630" t="s">
        <v>6</v>
      </c>
      <c r="D659" s="634">
        <v>43069</v>
      </c>
      <c r="E659" s="631" t="s">
        <v>6</v>
      </c>
      <c r="F659" s="634">
        <v>43131</v>
      </c>
      <c r="G659" s="635" t="s">
        <v>1131</v>
      </c>
      <c r="H659" s="635" t="s">
        <v>6</v>
      </c>
      <c r="I659" s="627" t="s">
        <v>92</v>
      </c>
      <c r="J659" s="567"/>
      <c r="K659" s="568"/>
    </row>
    <row r="660" spans="1:11" x14ac:dyDescent="0.25">
      <c r="A660" s="590"/>
      <c r="B660" s="576" t="s">
        <v>93</v>
      </c>
      <c r="C660" s="578"/>
      <c r="D660" s="593"/>
      <c r="E660" s="934"/>
      <c r="F660" s="564"/>
      <c r="G660" s="581"/>
      <c r="H660" s="581"/>
      <c r="I660" s="581"/>
      <c r="J660" s="567"/>
      <c r="K660" s="568"/>
    </row>
    <row r="661" spans="1:11" x14ac:dyDescent="0.25">
      <c r="A661" s="590">
        <v>40100</v>
      </c>
      <c r="B661" s="576" t="s">
        <v>96</v>
      </c>
      <c r="C661" s="581"/>
      <c r="D661" s="581">
        <v>0</v>
      </c>
      <c r="E661" s="901">
        <v>0</v>
      </c>
      <c r="F661" s="648"/>
      <c r="G661" s="581">
        <v>0</v>
      </c>
      <c r="I661" s="639" t="e">
        <f t="shared" ref="I661:I676" si="60">F661/C661</f>
        <v>#DIV/0!</v>
      </c>
      <c r="J661" s="567"/>
      <c r="K661" s="568"/>
    </row>
    <row r="662" spans="1:11" x14ac:dyDescent="0.25">
      <c r="A662" s="590">
        <v>41440</v>
      </c>
      <c r="B662" s="576" t="s">
        <v>100</v>
      </c>
      <c r="C662" s="581"/>
      <c r="D662" s="581">
        <v>0</v>
      </c>
      <c r="E662" s="901">
        <v>0</v>
      </c>
      <c r="F662" s="648"/>
      <c r="G662" s="581">
        <f>G661*0.062</f>
        <v>0</v>
      </c>
      <c r="I662" s="639" t="e">
        <f t="shared" si="60"/>
        <v>#DIV/0!</v>
      </c>
      <c r="J662" s="567"/>
      <c r="K662" s="568"/>
    </row>
    <row r="663" spans="1:11" x14ac:dyDescent="0.25">
      <c r="A663" s="590">
        <v>41450</v>
      </c>
      <c r="B663" s="576" t="s">
        <v>101</v>
      </c>
      <c r="C663" s="581"/>
      <c r="D663" s="581">
        <v>0</v>
      </c>
      <c r="E663" s="901">
        <v>0</v>
      </c>
      <c r="F663" s="648"/>
      <c r="G663" s="581">
        <f>G661*0.0145</f>
        <v>0</v>
      </c>
      <c r="I663" s="639" t="e">
        <f t="shared" si="60"/>
        <v>#DIV/0!</v>
      </c>
      <c r="J663" s="567"/>
      <c r="K663" s="568"/>
    </row>
    <row r="664" spans="1:11" x14ac:dyDescent="0.25">
      <c r="A664" s="590">
        <v>54110</v>
      </c>
      <c r="B664" s="576" t="s">
        <v>1212</v>
      </c>
      <c r="C664" s="581">
        <v>240</v>
      </c>
      <c r="D664" s="581">
        <v>45.62</v>
      </c>
      <c r="E664" s="902">
        <v>350</v>
      </c>
      <c r="F664" s="648"/>
      <c r="G664" s="581">
        <v>350</v>
      </c>
      <c r="I664" s="639">
        <f t="shared" si="60"/>
        <v>0</v>
      </c>
      <c r="J664" s="567"/>
      <c r="K664" s="568"/>
    </row>
    <row r="665" spans="1:11" x14ac:dyDescent="0.25">
      <c r="A665" s="590">
        <v>54212</v>
      </c>
      <c r="B665" s="576" t="s">
        <v>156</v>
      </c>
      <c r="C665" s="581">
        <v>1500</v>
      </c>
      <c r="D665" s="581">
        <v>1129.98</v>
      </c>
      <c r="E665" s="902">
        <v>0</v>
      </c>
      <c r="F665" s="648"/>
      <c r="G665" s="581">
        <v>0</v>
      </c>
      <c r="I665" s="639">
        <f t="shared" si="60"/>
        <v>0</v>
      </c>
      <c r="J665" s="567"/>
      <c r="K665" s="568"/>
    </row>
    <row r="666" spans="1:11" x14ac:dyDescent="0.25">
      <c r="A666" s="590">
        <v>60000</v>
      </c>
      <c r="B666" s="576" t="s">
        <v>199</v>
      </c>
      <c r="C666" s="581">
        <v>300</v>
      </c>
      <c r="D666" s="581">
        <v>88</v>
      </c>
      <c r="E666" s="902">
        <v>500</v>
      </c>
      <c r="F666" s="648"/>
      <c r="G666" s="581">
        <v>500</v>
      </c>
      <c r="I666" s="639">
        <f t="shared" si="60"/>
        <v>0</v>
      </c>
      <c r="J666" s="664"/>
      <c r="K666" s="568"/>
    </row>
    <row r="667" spans="1:11" x14ac:dyDescent="0.25">
      <c r="A667" s="590">
        <v>62310</v>
      </c>
      <c r="B667" s="576" t="s">
        <v>108</v>
      </c>
      <c r="C667" s="581">
        <v>200</v>
      </c>
      <c r="D667" s="581">
        <v>13.23</v>
      </c>
      <c r="E667" s="901">
        <v>150</v>
      </c>
      <c r="F667" s="648"/>
      <c r="G667" s="581">
        <v>150</v>
      </c>
      <c r="I667" s="639">
        <f t="shared" si="60"/>
        <v>0</v>
      </c>
      <c r="J667" s="567"/>
      <c r="K667" s="568"/>
    </row>
    <row r="668" spans="1:11" x14ac:dyDescent="0.25">
      <c r="A668" s="590">
        <v>62500</v>
      </c>
      <c r="B668" s="576" t="s">
        <v>109</v>
      </c>
      <c r="C668" s="581">
        <v>500</v>
      </c>
      <c r="D668" s="581">
        <v>151.94</v>
      </c>
      <c r="E668" s="901">
        <v>750</v>
      </c>
      <c r="F668" s="648"/>
      <c r="G668" s="581">
        <v>750</v>
      </c>
      <c r="I668" s="639">
        <f t="shared" si="60"/>
        <v>0</v>
      </c>
      <c r="J668" s="567"/>
      <c r="K668" s="568"/>
    </row>
    <row r="669" spans="1:11" x14ac:dyDescent="0.25">
      <c r="A669" s="590">
        <v>62510</v>
      </c>
      <c r="B669" s="576" t="s">
        <v>110</v>
      </c>
      <c r="C669" s="581">
        <v>200</v>
      </c>
      <c r="D669" s="581">
        <v>717.51</v>
      </c>
      <c r="E669" s="901">
        <v>300</v>
      </c>
      <c r="F669" s="648"/>
      <c r="G669" s="581">
        <v>300</v>
      </c>
      <c r="I669" s="639">
        <f t="shared" si="60"/>
        <v>0</v>
      </c>
      <c r="J669" s="567"/>
      <c r="K669" s="568"/>
    </row>
    <row r="670" spans="1:11" x14ac:dyDescent="0.25">
      <c r="A670" s="590">
        <v>62530</v>
      </c>
      <c r="B670" s="576" t="s">
        <v>171</v>
      </c>
      <c r="C670" s="581">
        <v>750</v>
      </c>
      <c r="D670" s="581">
        <v>800</v>
      </c>
      <c r="E670" s="901">
        <v>1000</v>
      </c>
      <c r="F670" s="648"/>
      <c r="G670" s="581">
        <v>1000</v>
      </c>
      <c r="I670" s="639">
        <f t="shared" si="60"/>
        <v>0</v>
      </c>
      <c r="J670" s="567"/>
      <c r="K670" s="568"/>
    </row>
    <row r="671" spans="1:11" x14ac:dyDescent="0.25">
      <c r="A671" s="590">
        <v>62550</v>
      </c>
      <c r="B671" s="576" t="s">
        <v>184</v>
      </c>
      <c r="C671" s="581">
        <v>1400</v>
      </c>
      <c r="D671" s="581">
        <v>114.63</v>
      </c>
      <c r="E671" s="901">
        <v>2500</v>
      </c>
      <c r="F671" s="648"/>
      <c r="G671" s="581">
        <v>2500</v>
      </c>
      <c r="I671" s="639">
        <f t="shared" si="60"/>
        <v>0</v>
      </c>
      <c r="J671" s="567"/>
      <c r="K671" s="568"/>
    </row>
    <row r="672" spans="1:11" x14ac:dyDescent="0.25">
      <c r="A672" s="590">
        <v>64480</v>
      </c>
      <c r="B672" s="576" t="s">
        <v>320</v>
      </c>
      <c r="C672" s="581">
        <v>100</v>
      </c>
      <c r="D672" s="581">
        <v>0</v>
      </c>
      <c r="E672" s="901">
        <v>100</v>
      </c>
      <c r="F672" s="648"/>
      <c r="G672" s="581">
        <v>100</v>
      </c>
      <c r="I672" s="639">
        <f t="shared" si="60"/>
        <v>0</v>
      </c>
      <c r="J672" s="567"/>
      <c r="K672" s="568"/>
    </row>
    <row r="673" spans="1:14" x14ac:dyDescent="0.25">
      <c r="A673" s="590">
        <v>65500</v>
      </c>
      <c r="B673" s="576" t="s">
        <v>113</v>
      </c>
      <c r="C673" s="581"/>
      <c r="D673" s="581">
        <v>0</v>
      </c>
      <c r="E673" s="902">
        <v>300</v>
      </c>
      <c r="F673" s="648"/>
      <c r="G673" s="581">
        <v>300</v>
      </c>
      <c r="I673" s="639" t="e">
        <f t="shared" si="60"/>
        <v>#DIV/0!</v>
      </c>
      <c r="J673" s="567"/>
      <c r="K673" s="568"/>
    </row>
    <row r="674" spans="1:14" x14ac:dyDescent="0.25">
      <c r="A674" s="590">
        <v>68010</v>
      </c>
      <c r="B674" s="576" t="s">
        <v>321</v>
      </c>
      <c r="C674" s="581">
        <v>250</v>
      </c>
      <c r="D674" s="581">
        <v>80</v>
      </c>
      <c r="E674" s="902">
        <v>100</v>
      </c>
      <c r="F674" s="648"/>
      <c r="G674" s="581">
        <v>100</v>
      </c>
      <c r="I674" s="639">
        <f t="shared" si="60"/>
        <v>0</v>
      </c>
      <c r="J674" s="567"/>
      <c r="K674" s="568"/>
    </row>
    <row r="675" spans="1:14" x14ac:dyDescent="0.25">
      <c r="A675" s="590">
        <v>69999</v>
      </c>
      <c r="B675" s="576" t="s">
        <v>355</v>
      </c>
      <c r="C675" s="581">
        <v>200</v>
      </c>
      <c r="D675" s="581">
        <v>0</v>
      </c>
      <c r="E675" s="902">
        <v>2266</v>
      </c>
      <c r="F675" s="648"/>
      <c r="G675" s="581">
        <v>2266</v>
      </c>
      <c r="I675" s="639">
        <f t="shared" si="60"/>
        <v>0</v>
      </c>
      <c r="J675" s="567"/>
      <c r="K675" s="568"/>
    </row>
    <row r="676" spans="1:14" x14ac:dyDescent="0.25">
      <c r="A676" s="560"/>
      <c r="B676" s="561" t="s">
        <v>116</v>
      </c>
      <c r="C676" s="566">
        <f>SUM(C661:C675)</f>
        <v>5640</v>
      </c>
      <c r="D676" s="566">
        <f t="shared" ref="D676:H676" si="61">SUM(D661:D675)</f>
        <v>3140.91</v>
      </c>
      <c r="E676" s="956">
        <f>SUM(E661:E675)</f>
        <v>8316</v>
      </c>
      <c r="F676" s="683">
        <f t="shared" si="61"/>
        <v>0</v>
      </c>
      <c r="G676" s="566">
        <f>SUM(G661:G675)</f>
        <v>8316</v>
      </c>
      <c r="H676" s="566">
        <f t="shared" si="61"/>
        <v>0</v>
      </c>
      <c r="I676" s="639">
        <f t="shared" si="60"/>
        <v>0</v>
      </c>
      <c r="J676" s="567"/>
      <c r="K676" s="568"/>
    </row>
    <row r="677" spans="1:14" s="569" customFormat="1" x14ac:dyDescent="0.25">
      <c r="A677" s="560"/>
      <c r="B677" s="561"/>
      <c r="C677" s="564"/>
      <c r="D677" s="581"/>
      <c r="E677" s="581"/>
      <c r="F677" s="564"/>
      <c r="G677" s="581"/>
      <c r="H677" s="581"/>
      <c r="I677" s="581"/>
      <c r="J677" s="567"/>
      <c r="K677" s="568"/>
    </row>
    <row r="678" spans="1:14" x14ac:dyDescent="0.25">
      <c r="A678" s="687" t="s">
        <v>322</v>
      </c>
      <c r="B678" s="628" t="s">
        <v>323</v>
      </c>
      <c r="C678" s="630">
        <v>2017</v>
      </c>
      <c r="D678" s="629" t="s">
        <v>1236</v>
      </c>
      <c r="E678" s="629">
        <v>2018</v>
      </c>
      <c r="F678" s="630" t="s">
        <v>1236</v>
      </c>
      <c r="G678" s="631" t="s">
        <v>4</v>
      </c>
      <c r="H678" s="631">
        <v>2019</v>
      </c>
      <c r="I678" s="627" t="s">
        <v>5</v>
      </c>
      <c r="J678" s="567"/>
      <c r="K678" s="568"/>
    </row>
    <row r="679" spans="1:14" x14ac:dyDescent="0.25">
      <c r="A679" s="590"/>
      <c r="B679" s="576" t="s">
        <v>324</v>
      </c>
      <c r="C679" s="630" t="s">
        <v>6</v>
      </c>
      <c r="D679" s="634">
        <v>43069</v>
      </c>
      <c r="E679" s="629" t="s">
        <v>6</v>
      </c>
      <c r="F679" s="634">
        <v>43131</v>
      </c>
      <c r="G679" s="635" t="s">
        <v>1131</v>
      </c>
      <c r="H679" s="635" t="s">
        <v>6</v>
      </c>
      <c r="I679" s="627" t="s">
        <v>92</v>
      </c>
      <c r="J679" s="567"/>
      <c r="K679" s="568"/>
    </row>
    <row r="680" spans="1:14" x14ac:dyDescent="0.25">
      <c r="A680" s="590"/>
      <c r="B680" s="576" t="s">
        <v>93</v>
      </c>
      <c r="C680" s="578"/>
      <c r="D680" s="566"/>
      <c r="E680" s="593"/>
      <c r="F680" s="564"/>
      <c r="G680" s="581"/>
      <c r="H680" s="581"/>
      <c r="I680" s="581"/>
      <c r="J680" s="567"/>
      <c r="K680" s="568"/>
    </row>
    <row r="681" spans="1:14" x14ac:dyDescent="0.25">
      <c r="A681" s="575">
        <v>70100</v>
      </c>
      <c r="B681" s="576" t="s">
        <v>325</v>
      </c>
      <c r="C681" s="562">
        <v>0</v>
      </c>
      <c r="D681" s="562">
        <v>0.01</v>
      </c>
      <c r="E681" s="610">
        <v>0.01</v>
      </c>
      <c r="F681" s="648"/>
      <c r="G681" s="562">
        <v>0</v>
      </c>
      <c r="H681" s="562">
        <v>0</v>
      </c>
      <c r="I681" s="639" t="e">
        <f>F681/C681</f>
        <v>#DIV/0!</v>
      </c>
      <c r="J681" s="712"/>
      <c r="K681" s="713"/>
    </row>
    <row r="682" spans="1:14" x14ac:dyDescent="0.25">
      <c r="A682" s="575">
        <v>70100</v>
      </c>
      <c r="B682" s="576" t="s">
        <v>326</v>
      </c>
      <c r="C682" s="562">
        <v>0</v>
      </c>
      <c r="D682" s="562">
        <v>0.01</v>
      </c>
      <c r="E682" s="610">
        <v>0.01</v>
      </c>
      <c r="F682" s="648"/>
      <c r="G682" s="562">
        <v>0</v>
      </c>
      <c r="H682" s="562">
        <v>0</v>
      </c>
      <c r="I682" s="639" t="e">
        <f>F682/C682</f>
        <v>#DIV/0!</v>
      </c>
      <c r="J682" s="714"/>
      <c r="K682" s="715"/>
    </row>
    <row r="683" spans="1:14" x14ac:dyDescent="0.25">
      <c r="A683" s="575">
        <v>70203</v>
      </c>
      <c r="B683" s="576" t="s">
        <v>327</v>
      </c>
      <c r="C683" s="562"/>
      <c r="D683" s="562">
        <v>73352</v>
      </c>
      <c r="E683" s="610">
        <v>0</v>
      </c>
      <c r="F683" s="648"/>
      <c r="G683" s="562">
        <v>0</v>
      </c>
      <c r="H683" s="562"/>
      <c r="I683" s="639" t="e">
        <f>F683/C683</f>
        <v>#DIV/0!</v>
      </c>
      <c r="J683" s="716"/>
      <c r="K683" s="715"/>
    </row>
    <row r="684" spans="1:14" x14ac:dyDescent="0.25">
      <c r="A684" s="575">
        <v>70700</v>
      </c>
      <c r="B684" s="576" t="s">
        <v>328</v>
      </c>
      <c r="C684" s="562">
        <v>0</v>
      </c>
      <c r="D684" s="562">
        <v>0.01</v>
      </c>
      <c r="E684" s="610">
        <v>0.01</v>
      </c>
      <c r="F684" s="648"/>
      <c r="G684" s="562">
        <v>0</v>
      </c>
      <c r="H684" s="562">
        <v>0</v>
      </c>
      <c r="I684" s="639" t="e">
        <f>F684/C684</f>
        <v>#DIV/0!</v>
      </c>
      <c r="J684" s="714"/>
      <c r="K684" s="715"/>
      <c r="N684" s="616"/>
    </row>
    <row r="685" spans="1:14" x14ac:dyDescent="0.25">
      <c r="A685" s="560"/>
      <c r="B685" s="561" t="s">
        <v>116</v>
      </c>
      <c r="C685" s="563">
        <f>SUM(C681:C684)</f>
        <v>0</v>
      </c>
      <c r="D685" s="563">
        <f t="shared" ref="D685:H685" si="62">SUM(D681:D684)</f>
        <v>73352.03</v>
      </c>
      <c r="E685" s="674">
        <f>SUM(E681:E684)</f>
        <v>0.03</v>
      </c>
      <c r="F685" s="683">
        <f t="shared" si="62"/>
        <v>0</v>
      </c>
      <c r="G685" s="563">
        <f>SUM(G681:G684)</f>
        <v>0</v>
      </c>
      <c r="H685" s="563">
        <f t="shared" si="62"/>
        <v>0</v>
      </c>
      <c r="I685" s="639" t="e">
        <f>F685/C685</f>
        <v>#DIV/0!</v>
      </c>
      <c r="J685" s="567"/>
      <c r="K685" s="568"/>
    </row>
    <row r="686" spans="1:14" x14ac:dyDescent="0.25">
      <c r="A686" s="580" t="s">
        <v>329</v>
      </c>
      <c r="B686" s="576"/>
      <c r="C686" s="581"/>
      <c r="D686" s="564"/>
      <c r="E686" s="564"/>
      <c r="F686" s="622"/>
      <c r="G686" s="581"/>
      <c r="H686" s="581"/>
      <c r="I686" s="639"/>
      <c r="J686" s="567"/>
      <c r="K686" s="568"/>
    </row>
    <row r="687" spans="1:14" x14ac:dyDescent="0.25">
      <c r="A687" s="560"/>
      <c r="B687" s="561" t="s">
        <v>330</v>
      </c>
      <c r="C687" s="579">
        <f t="shared" ref="C687:H687" si="63">C126</f>
        <v>2735369</v>
      </c>
      <c r="D687" s="579">
        <f t="shared" si="63"/>
        <v>2764629.4699999997</v>
      </c>
      <c r="E687" s="579">
        <f t="shared" si="63"/>
        <v>3149967.23</v>
      </c>
      <c r="F687" s="717">
        <f t="shared" si="63"/>
        <v>0</v>
      </c>
      <c r="G687" s="579">
        <f t="shared" si="63"/>
        <v>3149967</v>
      </c>
      <c r="H687" s="579">
        <f t="shared" si="63"/>
        <v>0</v>
      </c>
      <c r="I687" s="639">
        <f t="shared" ref="I687:I693" si="64">F687/C687</f>
        <v>0</v>
      </c>
      <c r="J687" s="567"/>
      <c r="K687" s="568"/>
    </row>
    <row r="688" spans="1:14" x14ac:dyDescent="0.25">
      <c r="A688" s="590"/>
      <c r="B688" s="561" t="s">
        <v>331</v>
      </c>
      <c r="C688" s="616">
        <f t="shared" ref="C688:H688" si="65">C154+C185+C224+C253+C277+C285+C299+C317+C333+C380+C400+C588+C622+C656+C676+C685+C629</f>
        <v>2303489</v>
      </c>
      <c r="D688" s="616">
        <f t="shared" si="65"/>
        <v>3139564.15</v>
      </c>
      <c r="E688" s="616">
        <f>E154+E185+E224+E253+E277+E285+E299+E317+E333+E380+E400+E588+E622+E629+E656+E676+E685</f>
        <v>3456105.8660000009</v>
      </c>
      <c r="F688" s="717">
        <f t="shared" si="65"/>
        <v>0</v>
      </c>
      <c r="G688" s="616">
        <f>G154+G185+G224+G253+G277+G285+G299+G317+G333+G380+G400+G588+G622+G629+G656+G676+G685</f>
        <v>3456105.5660000001</v>
      </c>
      <c r="H688" s="616">
        <f t="shared" si="65"/>
        <v>0</v>
      </c>
      <c r="I688" s="639">
        <f t="shared" si="64"/>
        <v>0</v>
      </c>
      <c r="J688" s="567"/>
      <c r="K688" s="568"/>
    </row>
    <row r="689" spans="1:11" x14ac:dyDescent="0.25">
      <c r="A689" s="580"/>
      <c r="B689" s="561" t="s">
        <v>332</v>
      </c>
      <c r="C689" s="616">
        <f>C687-C688</f>
        <v>431880</v>
      </c>
      <c r="D689" s="616">
        <f t="shared" ref="D689:H689" si="66">D687-D688</f>
        <v>-374934.68000000017</v>
      </c>
      <c r="E689" s="616">
        <f>E687-E688</f>
        <v>-306138.63600000087</v>
      </c>
      <c r="F689" s="717">
        <f t="shared" si="66"/>
        <v>0</v>
      </c>
      <c r="G689" s="616">
        <f>G687-G688</f>
        <v>-306138.56600000011</v>
      </c>
      <c r="H689" s="616">
        <f t="shared" si="66"/>
        <v>0</v>
      </c>
      <c r="I689" s="639">
        <f t="shared" si="64"/>
        <v>0</v>
      </c>
      <c r="J689" s="567"/>
      <c r="K689" s="568"/>
    </row>
    <row r="690" spans="1:11" x14ac:dyDescent="0.25">
      <c r="A690" s="580"/>
      <c r="B690" s="561" t="s">
        <v>333</v>
      </c>
      <c r="C690" s="616">
        <f t="shared" ref="C690:H690" si="67">C5+C689</f>
        <v>1374846</v>
      </c>
      <c r="D690" s="616">
        <f t="shared" si="67"/>
        <v>-374934.68000000017</v>
      </c>
      <c r="E690" s="616">
        <f t="shared" si="67"/>
        <v>261892.36399999913</v>
      </c>
      <c r="F690" s="717">
        <f t="shared" si="67"/>
        <v>0</v>
      </c>
      <c r="G690" s="616">
        <f t="shared" si="67"/>
        <v>-44246.20200000098</v>
      </c>
      <c r="H690" s="616">
        <f t="shared" si="67"/>
        <v>0</v>
      </c>
      <c r="I690" s="639">
        <f t="shared" si="64"/>
        <v>0</v>
      </c>
      <c r="J690" s="567"/>
      <c r="K690" s="568"/>
    </row>
    <row r="691" spans="1:11" x14ac:dyDescent="0.25">
      <c r="A691" s="580"/>
      <c r="B691" s="561" t="s">
        <v>334</v>
      </c>
      <c r="C691" s="579">
        <v>0</v>
      </c>
      <c r="D691" s="579">
        <v>70000</v>
      </c>
      <c r="E691" s="579"/>
      <c r="F691" s="717">
        <v>0</v>
      </c>
      <c r="G691" s="579"/>
      <c r="H691" s="579">
        <v>0</v>
      </c>
      <c r="I691" s="639" t="e">
        <f t="shared" si="64"/>
        <v>#DIV/0!</v>
      </c>
      <c r="J691" s="567"/>
      <c r="K691" s="568"/>
    </row>
    <row r="692" spans="1:11" x14ac:dyDescent="0.25">
      <c r="A692" s="561" t="s">
        <v>335</v>
      </c>
      <c r="B692" s="576"/>
      <c r="C692" s="579">
        <v>600000</v>
      </c>
      <c r="D692" s="579">
        <v>400000</v>
      </c>
      <c r="E692" s="579">
        <v>0</v>
      </c>
      <c r="F692" s="717"/>
      <c r="G692" s="579">
        <v>0</v>
      </c>
      <c r="H692" s="579"/>
      <c r="I692" s="639">
        <f t="shared" si="64"/>
        <v>0</v>
      </c>
      <c r="J692" s="567"/>
      <c r="K692" s="568"/>
    </row>
    <row r="693" spans="1:11" x14ac:dyDescent="0.25">
      <c r="A693" s="561" t="s">
        <v>336</v>
      </c>
      <c r="B693" s="576"/>
      <c r="C693" s="579">
        <v>30000</v>
      </c>
      <c r="D693" s="579">
        <v>20000</v>
      </c>
      <c r="E693" s="579">
        <v>0</v>
      </c>
      <c r="F693" s="717"/>
      <c r="G693" s="579">
        <v>0</v>
      </c>
      <c r="H693" s="579"/>
      <c r="I693" s="639">
        <f t="shared" si="64"/>
        <v>0</v>
      </c>
      <c r="J693" s="567"/>
      <c r="K693" s="568"/>
    </row>
    <row r="694" spans="1:11" x14ac:dyDescent="0.25">
      <c r="A694" s="679"/>
      <c r="B694" s="718"/>
      <c r="C694" s="579"/>
      <c r="D694" s="579"/>
      <c r="E694" s="579">
        <v>0.01</v>
      </c>
      <c r="F694" s="717"/>
      <c r="G694" s="579"/>
      <c r="H694" s="579"/>
      <c r="I694" s="639"/>
      <c r="J694" s="719"/>
      <c r="K694" s="568"/>
    </row>
    <row r="695" spans="1:11" x14ac:dyDescent="0.25">
      <c r="A695" s="580"/>
      <c r="B695" s="561" t="s">
        <v>337</v>
      </c>
      <c r="C695" s="579">
        <v>7053</v>
      </c>
      <c r="D695" s="579">
        <f>9856.51+D30+D84+D87+D103-D417-D419-D422</f>
        <v>10396.67</v>
      </c>
      <c r="E695" s="579">
        <f>8001+1050</f>
        <v>9051</v>
      </c>
      <c r="F695" s="717"/>
      <c r="G695" s="579">
        <v>9051</v>
      </c>
      <c r="H695" s="579"/>
      <c r="I695" s="639">
        <f>F695/C695</f>
        <v>0</v>
      </c>
      <c r="J695" s="567"/>
      <c r="K695" s="568"/>
    </row>
    <row r="696" spans="1:11" x14ac:dyDescent="0.25">
      <c r="A696" s="580"/>
      <c r="B696" s="561" t="s">
        <v>338</v>
      </c>
      <c r="C696" s="616">
        <f>C690-C691-C692-C693-C694-C695</f>
        <v>737793</v>
      </c>
      <c r="D696" s="616">
        <f t="shared" ref="D696:H696" si="68">D690-D691-D692-D693-D694-D695</f>
        <v>-875331.35000000021</v>
      </c>
      <c r="E696" s="616">
        <f>E690-E691-E692-E693-E694-E695</f>
        <v>252841.35399999912</v>
      </c>
      <c r="F696" s="717">
        <f t="shared" si="68"/>
        <v>0</v>
      </c>
      <c r="G696" s="616">
        <f>G690-G691-G692-G693-G694-G695</f>
        <v>-53297.20200000098</v>
      </c>
      <c r="H696" s="616">
        <f t="shared" si="68"/>
        <v>0</v>
      </c>
      <c r="I696" s="639">
        <f>F696/C696</f>
        <v>0</v>
      </c>
      <c r="J696" s="567"/>
      <c r="K696" s="568"/>
    </row>
    <row r="697" spans="1:11" s="569" customFormat="1" x14ac:dyDescent="0.25">
      <c r="A697" s="580"/>
      <c r="B697" s="561"/>
      <c r="C697" s="564"/>
      <c r="D697" s="576"/>
      <c r="E697" s="576"/>
      <c r="F697" s="564"/>
      <c r="G697" s="581"/>
      <c r="H697" s="581"/>
      <c r="I697" s="581"/>
      <c r="J697" s="567"/>
      <c r="K697" s="568"/>
    </row>
    <row r="698" spans="1:11" x14ac:dyDescent="0.25">
      <c r="A698" s="720" t="s">
        <v>339</v>
      </c>
      <c r="B698" s="628" t="s">
        <v>340</v>
      </c>
      <c r="C698" s="630">
        <v>2017</v>
      </c>
      <c r="D698" s="629" t="s">
        <v>1236</v>
      </c>
      <c r="E698" s="629">
        <v>2018</v>
      </c>
      <c r="F698" s="630" t="s">
        <v>1236</v>
      </c>
      <c r="G698" s="631" t="s">
        <v>4</v>
      </c>
      <c r="H698" s="631">
        <v>2019</v>
      </c>
      <c r="I698" s="627" t="s">
        <v>341</v>
      </c>
      <c r="J698" s="567"/>
      <c r="K698" s="568"/>
    </row>
    <row r="699" spans="1:11" x14ac:dyDescent="0.25">
      <c r="A699" s="560" t="s">
        <v>342</v>
      </c>
      <c r="B699" s="561" t="s">
        <v>343</v>
      </c>
      <c r="C699" s="630" t="s">
        <v>6</v>
      </c>
      <c r="D699" s="634">
        <v>43069</v>
      </c>
      <c r="E699" s="629" t="s">
        <v>6</v>
      </c>
      <c r="F699" s="634">
        <v>43131</v>
      </c>
      <c r="G699" s="635" t="s">
        <v>1131</v>
      </c>
      <c r="H699" s="635" t="s">
        <v>6</v>
      </c>
      <c r="I699" s="627" t="s">
        <v>344</v>
      </c>
      <c r="J699" s="567"/>
      <c r="K699" s="568"/>
    </row>
    <row r="700" spans="1:11" s="569" customFormat="1" x14ac:dyDescent="0.25">
      <c r="A700" s="590"/>
      <c r="B700" s="576" t="s">
        <v>93</v>
      </c>
      <c r="C700" s="578"/>
      <c r="D700" s="593"/>
      <c r="E700" s="593"/>
      <c r="F700" s="578"/>
      <c r="G700" s="593"/>
      <c r="H700" s="593"/>
      <c r="I700" s="593"/>
      <c r="J700" s="567"/>
      <c r="K700" s="568"/>
    </row>
    <row r="701" spans="1:11" x14ac:dyDescent="0.25">
      <c r="A701" s="590"/>
      <c r="B701" s="576"/>
      <c r="C701" s="564"/>
      <c r="D701" s="581"/>
      <c r="E701" s="581"/>
      <c r="F701" s="564"/>
      <c r="G701" s="581"/>
      <c r="H701" s="581"/>
      <c r="I701" s="581"/>
      <c r="J701" s="567"/>
      <c r="K701" s="568"/>
    </row>
    <row r="702" spans="1:11" x14ac:dyDescent="0.25">
      <c r="A702" s="561" t="s">
        <v>1233</v>
      </c>
      <c r="B702" s="576"/>
      <c r="C702" s="566">
        <v>543672</v>
      </c>
      <c r="D702" s="566"/>
      <c r="E702" s="566">
        <v>516647</v>
      </c>
      <c r="F702" s="566"/>
      <c r="G702" s="566">
        <f>E702+E917-E918</f>
        <v>617023.44900000002</v>
      </c>
      <c r="H702" s="566"/>
      <c r="I702" s="581"/>
      <c r="J702" s="567"/>
      <c r="K702" s="568"/>
    </row>
    <row r="703" spans="1:11" x14ac:dyDescent="0.25">
      <c r="A703" s="590"/>
      <c r="B703" s="576" t="s">
        <v>1277</v>
      </c>
      <c r="C703" s="581"/>
      <c r="D703" s="581"/>
      <c r="E703" s="581"/>
      <c r="F703" s="581"/>
      <c r="G703" s="581"/>
      <c r="H703" s="581"/>
      <c r="I703" s="581"/>
      <c r="J703" s="567"/>
      <c r="K703" s="568"/>
    </row>
    <row r="704" spans="1:11" x14ac:dyDescent="0.25">
      <c r="A704" s="560"/>
      <c r="B704" s="561" t="s">
        <v>345</v>
      </c>
      <c r="C704" s="581"/>
      <c r="D704" s="581"/>
      <c r="E704" s="581"/>
      <c r="F704" s="581"/>
      <c r="G704" s="581"/>
      <c r="H704" s="581"/>
      <c r="I704" s="581"/>
      <c r="J704" s="567"/>
      <c r="K704" s="568"/>
    </row>
    <row r="705" spans="1:11" x14ac:dyDescent="0.25">
      <c r="A705" s="590">
        <v>31100</v>
      </c>
      <c r="B705" s="576" t="s">
        <v>1274</v>
      </c>
      <c r="C705" s="562">
        <v>61695</v>
      </c>
      <c r="D705" s="581">
        <v>60471.040999999997</v>
      </c>
      <c r="E705" s="901">
        <v>58434</v>
      </c>
      <c r="F705" s="581"/>
      <c r="G705" s="581">
        <v>58434</v>
      </c>
      <c r="H705" s="562"/>
      <c r="I705" s="639">
        <f>F705/C705</f>
        <v>0</v>
      </c>
      <c r="J705" s="650"/>
      <c r="K705" s="568"/>
    </row>
    <row r="706" spans="1:11" x14ac:dyDescent="0.25">
      <c r="A706" s="590">
        <v>31200</v>
      </c>
      <c r="B706" s="576" t="s">
        <v>346</v>
      </c>
      <c r="C706" s="562">
        <v>1190</v>
      </c>
      <c r="D706" s="581">
        <v>4230.46</v>
      </c>
      <c r="E706" s="901">
        <v>4300</v>
      </c>
      <c r="F706" s="581"/>
      <c r="G706" s="581">
        <v>4300</v>
      </c>
      <c r="H706" s="562"/>
      <c r="I706" s="639">
        <f>F706/C706</f>
        <v>0</v>
      </c>
      <c r="J706" s="567"/>
      <c r="K706" s="568"/>
    </row>
    <row r="707" spans="1:11" x14ac:dyDescent="0.25">
      <c r="A707" s="590">
        <v>31250</v>
      </c>
      <c r="B707" s="576" t="s">
        <v>13</v>
      </c>
      <c r="C707" s="562">
        <v>70</v>
      </c>
      <c r="D707" s="581">
        <v>218.5</v>
      </c>
      <c r="E707" s="901">
        <v>225</v>
      </c>
      <c r="F707" s="581"/>
      <c r="G707" s="581">
        <v>225</v>
      </c>
      <c r="H707" s="562"/>
      <c r="I707" s="639">
        <f>F707/C707</f>
        <v>0</v>
      </c>
      <c r="J707" s="567"/>
      <c r="K707" s="568"/>
    </row>
    <row r="708" spans="1:11" x14ac:dyDescent="0.25">
      <c r="A708" s="596"/>
      <c r="B708" s="583" t="s">
        <v>347</v>
      </c>
      <c r="C708" s="587">
        <f>SUM(C705:C707)</f>
        <v>62955</v>
      </c>
      <c r="D708" s="587">
        <f t="shared" ref="D708:H708" si="69">SUM(D705:D707)</f>
        <v>64920.000999999997</v>
      </c>
      <c r="E708" s="953">
        <f>SUM(E705:E707)</f>
        <v>62959</v>
      </c>
      <c r="F708" s="587">
        <f>SUM(F705:F707)</f>
        <v>0</v>
      </c>
      <c r="G708" s="587">
        <f>SUM(G705:G707)</f>
        <v>62959</v>
      </c>
      <c r="H708" s="587">
        <f t="shared" si="69"/>
        <v>0</v>
      </c>
      <c r="I708" s="639">
        <f>F708/C708</f>
        <v>0</v>
      </c>
      <c r="J708" s="567"/>
      <c r="K708" s="568"/>
    </row>
    <row r="709" spans="1:11" x14ac:dyDescent="0.25">
      <c r="A709" s="560"/>
      <c r="B709" s="561" t="s">
        <v>348</v>
      </c>
      <c r="C709" s="581"/>
      <c r="D709" s="581"/>
      <c r="E709" s="901"/>
      <c r="F709" s="581"/>
      <c r="G709" s="581"/>
      <c r="H709" s="581"/>
      <c r="I709" s="581"/>
      <c r="J709" s="567"/>
      <c r="K709" s="568"/>
    </row>
    <row r="710" spans="1:11" x14ac:dyDescent="0.25">
      <c r="A710" s="590">
        <v>32130</v>
      </c>
      <c r="B710" s="576" t="s">
        <v>349</v>
      </c>
      <c r="C710" s="562">
        <v>0</v>
      </c>
      <c r="D710" s="581">
        <v>150</v>
      </c>
      <c r="E710" s="901">
        <v>0.01</v>
      </c>
      <c r="F710" s="581"/>
      <c r="G710" s="581">
        <v>0</v>
      </c>
      <c r="H710" s="581"/>
      <c r="I710" s="639" t="e">
        <f t="shared" ref="I710:I719" si="70">F710/C710</f>
        <v>#DIV/0!</v>
      </c>
      <c r="J710" s="567"/>
      <c r="K710" s="689"/>
    </row>
    <row r="711" spans="1:11" x14ac:dyDescent="0.25">
      <c r="A711" s="590">
        <v>32140</v>
      </c>
      <c r="B711" s="576" t="s">
        <v>350</v>
      </c>
      <c r="C711" s="562">
        <v>0</v>
      </c>
      <c r="D711" s="581">
        <v>950</v>
      </c>
      <c r="E711" s="901">
        <v>250</v>
      </c>
      <c r="F711" s="581"/>
      <c r="G711" s="581">
        <v>250</v>
      </c>
      <c r="H711" s="581"/>
      <c r="I711" s="639" t="e">
        <f t="shared" si="70"/>
        <v>#DIV/0!</v>
      </c>
      <c r="J711" s="567"/>
      <c r="K711" s="568"/>
    </row>
    <row r="712" spans="1:11" x14ac:dyDescent="0.25">
      <c r="A712" s="590">
        <v>32150</v>
      </c>
      <c r="B712" s="576" t="s">
        <v>351</v>
      </c>
      <c r="C712" s="562">
        <v>37000</v>
      </c>
      <c r="D712" s="581">
        <v>15758.9</v>
      </c>
      <c r="E712" s="901">
        <v>25000</v>
      </c>
      <c r="F712" s="581"/>
      <c r="G712" s="581">
        <v>25000</v>
      </c>
      <c r="H712" s="581"/>
      <c r="I712" s="639">
        <f t="shared" si="70"/>
        <v>0</v>
      </c>
      <c r="J712" s="567"/>
      <c r="K712" s="568"/>
    </row>
    <row r="713" spans="1:11" x14ac:dyDescent="0.25">
      <c r="A713" s="590">
        <v>32160</v>
      </c>
      <c r="B713" s="576" t="s">
        <v>352</v>
      </c>
      <c r="C713" s="562">
        <v>115000</v>
      </c>
      <c r="D713" s="721">
        <v>141689.9</v>
      </c>
      <c r="E713" s="907">
        <v>145000</v>
      </c>
      <c r="F713" s="581"/>
      <c r="G713" s="581">
        <v>145000</v>
      </c>
      <c r="H713" s="581"/>
      <c r="I713" s="639">
        <f t="shared" si="70"/>
        <v>0</v>
      </c>
      <c r="J713" s="567"/>
      <c r="K713" s="568"/>
    </row>
    <row r="714" spans="1:11" x14ac:dyDescent="0.25">
      <c r="A714" s="590">
        <v>32170</v>
      </c>
      <c r="B714" s="576" t="s">
        <v>353</v>
      </c>
      <c r="C714" s="562">
        <v>10000</v>
      </c>
      <c r="D714" s="581">
        <v>16987.29</v>
      </c>
      <c r="E714" s="901">
        <v>18500</v>
      </c>
      <c r="F714" s="581"/>
      <c r="G714" s="581">
        <v>18500</v>
      </c>
      <c r="H714" s="581"/>
      <c r="I714" s="639">
        <f t="shared" si="70"/>
        <v>0</v>
      </c>
      <c r="J714" s="567"/>
      <c r="K714" s="568"/>
    </row>
    <row r="715" spans="1:11" x14ac:dyDescent="0.25">
      <c r="A715" s="590">
        <v>32171</v>
      </c>
      <c r="B715" s="576" t="s">
        <v>354</v>
      </c>
      <c r="C715" s="562">
        <v>5000</v>
      </c>
      <c r="D715" s="581">
        <v>0</v>
      </c>
      <c r="E715" s="901">
        <v>0</v>
      </c>
      <c r="F715" s="581"/>
      <c r="G715" s="581">
        <v>0</v>
      </c>
      <c r="H715" s="581"/>
      <c r="I715" s="639">
        <f t="shared" si="70"/>
        <v>0</v>
      </c>
      <c r="J715" s="567"/>
      <c r="K715" s="568"/>
    </row>
    <row r="716" spans="1:11" x14ac:dyDescent="0.25">
      <c r="A716" s="590">
        <v>32370</v>
      </c>
      <c r="B716" s="576" t="s">
        <v>31</v>
      </c>
      <c r="C716" s="562">
        <v>38000</v>
      </c>
      <c r="D716" s="581">
        <v>9401.25</v>
      </c>
      <c r="E716" s="901">
        <v>20000</v>
      </c>
      <c r="F716" s="581"/>
      <c r="G716" s="581">
        <v>20000</v>
      </c>
      <c r="H716" s="581"/>
      <c r="I716" s="639">
        <f t="shared" si="70"/>
        <v>0</v>
      </c>
      <c r="J716" s="567"/>
      <c r="K716" s="568"/>
    </row>
    <row r="717" spans="1:11" x14ac:dyDescent="0.25">
      <c r="A717" s="590">
        <v>32671</v>
      </c>
      <c r="B717" s="576" t="s">
        <v>1293</v>
      </c>
      <c r="C717" s="562"/>
      <c r="D717" s="581">
        <v>63200</v>
      </c>
      <c r="E717" s="901">
        <v>0</v>
      </c>
      <c r="F717" s="581"/>
      <c r="G717" s="581">
        <v>0</v>
      </c>
      <c r="H717" s="581"/>
      <c r="I717" s="639" t="e">
        <f t="shared" si="70"/>
        <v>#DIV/0!</v>
      </c>
      <c r="J717" s="567"/>
      <c r="K717" s="568"/>
    </row>
    <row r="718" spans="1:11" x14ac:dyDescent="0.25">
      <c r="A718" s="590"/>
      <c r="B718" s="576" t="s">
        <v>356</v>
      </c>
      <c r="C718" s="562"/>
      <c r="D718" s="581">
        <v>0</v>
      </c>
      <c r="E718" s="901">
        <v>0</v>
      </c>
      <c r="F718" s="581"/>
      <c r="G718" s="581">
        <v>0</v>
      </c>
      <c r="H718" s="581"/>
      <c r="I718" s="639" t="e">
        <f t="shared" si="70"/>
        <v>#DIV/0!</v>
      </c>
      <c r="J718" s="567"/>
      <c r="K718" s="568"/>
    </row>
    <row r="719" spans="1:11" x14ac:dyDescent="0.25">
      <c r="A719" s="596"/>
      <c r="B719" s="583" t="s">
        <v>357</v>
      </c>
      <c r="C719" s="587">
        <f t="shared" ref="C719:H719" si="71">SUM(C710:C718)</f>
        <v>205000</v>
      </c>
      <c r="D719" s="587">
        <f t="shared" si="71"/>
        <v>248137.34</v>
      </c>
      <c r="E719" s="953">
        <f t="shared" si="71"/>
        <v>208750.01</v>
      </c>
      <c r="F719" s="587">
        <f t="shared" si="71"/>
        <v>0</v>
      </c>
      <c r="G719" s="587">
        <f t="shared" si="71"/>
        <v>208750</v>
      </c>
      <c r="H719" s="587">
        <f t="shared" si="71"/>
        <v>0</v>
      </c>
      <c r="I719" s="639">
        <f t="shared" si="70"/>
        <v>0</v>
      </c>
      <c r="J719" s="655"/>
      <c r="K719" s="568"/>
    </row>
    <row r="720" spans="1:11" x14ac:dyDescent="0.25">
      <c r="A720" s="560"/>
      <c r="B720" s="561" t="s">
        <v>358</v>
      </c>
      <c r="C720" s="581"/>
      <c r="D720" s="581"/>
      <c r="E720" s="901"/>
      <c r="F720" s="581"/>
      <c r="G720" s="581"/>
      <c r="H720" s="581"/>
      <c r="I720" s="581"/>
      <c r="J720" s="567"/>
      <c r="K720" s="689"/>
    </row>
    <row r="721" spans="1:11" x14ac:dyDescent="0.25">
      <c r="A721" s="590">
        <v>33010</v>
      </c>
      <c r="B721" s="576" t="s">
        <v>1079</v>
      </c>
      <c r="C721" s="562">
        <v>774000</v>
      </c>
      <c r="D721" s="581">
        <v>669743.02</v>
      </c>
      <c r="E721" s="901">
        <v>764750</v>
      </c>
      <c r="F721" s="581"/>
      <c r="G721" s="581">
        <v>764750</v>
      </c>
      <c r="H721" s="581"/>
      <c r="I721" s="639">
        <f>F721/C721</f>
        <v>0</v>
      </c>
      <c r="J721" s="655"/>
      <c r="K721" s="568"/>
    </row>
    <row r="722" spans="1:11" x14ac:dyDescent="0.25">
      <c r="A722" s="590">
        <v>33030</v>
      </c>
      <c r="B722" s="576" t="s">
        <v>360</v>
      </c>
      <c r="C722" s="562">
        <v>4000</v>
      </c>
      <c r="D722" s="581">
        <v>5765.5</v>
      </c>
      <c r="E722" s="901">
        <v>6500</v>
      </c>
      <c r="F722" s="581"/>
      <c r="G722" s="581">
        <v>6500</v>
      </c>
      <c r="H722" s="581"/>
      <c r="I722" s="639">
        <f>F722/C722</f>
        <v>0</v>
      </c>
      <c r="J722" s="567"/>
      <c r="K722" s="568"/>
    </row>
    <row r="723" spans="1:11" x14ac:dyDescent="0.25">
      <c r="A723" s="590">
        <v>34200</v>
      </c>
      <c r="B723" s="576" t="s">
        <v>52</v>
      </c>
      <c r="C723" s="562"/>
      <c r="D723" s="581">
        <v>0</v>
      </c>
      <c r="E723" s="901">
        <v>0.01</v>
      </c>
      <c r="F723" s="581"/>
      <c r="G723" s="581">
        <v>0</v>
      </c>
      <c r="H723" s="581"/>
      <c r="I723" s="639" t="e">
        <f>F723/C723</f>
        <v>#DIV/0!</v>
      </c>
      <c r="J723" s="567"/>
      <c r="K723" s="568"/>
    </row>
    <row r="724" spans="1:11" x14ac:dyDescent="0.25">
      <c r="A724" s="596"/>
      <c r="B724" s="583" t="s">
        <v>361</v>
      </c>
      <c r="C724" s="587">
        <f t="shared" ref="C724:H724" si="72">SUM(C721:C723)</f>
        <v>778000</v>
      </c>
      <c r="D724" s="587">
        <f t="shared" si="72"/>
        <v>675508.52</v>
      </c>
      <c r="E724" s="953">
        <f t="shared" si="72"/>
        <v>771250.01</v>
      </c>
      <c r="F724" s="587">
        <f t="shared" si="72"/>
        <v>0</v>
      </c>
      <c r="G724" s="587">
        <f t="shared" si="72"/>
        <v>771250</v>
      </c>
      <c r="H724" s="587">
        <f t="shared" si="72"/>
        <v>0</v>
      </c>
      <c r="I724" s="639">
        <f>F724/C724</f>
        <v>0</v>
      </c>
      <c r="J724" s="567"/>
      <c r="K724" s="568"/>
    </row>
    <row r="725" spans="1:11" s="569" customFormat="1" x14ac:dyDescent="0.25">
      <c r="A725" s="560"/>
      <c r="B725" s="561" t="s">
        <v>362</v>
      </c>
      <c r="C725" s="581"/>
      <c r="D725" s="581"/>
      <c r="E725" s="901"/>
      <c r="F725" s="581"/>
      <c r="G725" s="581"/>
      <c r="H725" s="581"/>
      <c r="I725" s="581"/>
      <c r="J725" s="567"/>
      <c r="K725" s="568"/>
    </row>
    <row r="726" spans="1:11" x14ac:dyDescent="0.25">
      <c r="A726" s="590">
        <v>36030</v>
      </c>
      <c r="B726" s="576" t="s">
        <v>363</v>
      </c>
      <c r="C726" s="562">
        <v>25000</v>
      </c>
      <c r="D726" s="581">
        <v>0</v>
      </c>
      <c r="E726" s="901">
        <v>25000</v>
      </c>
      <c r="F726" s="581"/>
      <c r="G726" s="581">
        <v>25000</v>
      </c>
      <c r="H726" s="581"/>
      <c r="I726" s="601">
        <f t="shared" ref="I726:I731" si="73">F726/C726</f>
        <v>0</v>
      </c>
      <c r="J726" s="567"/>
      <c r="K726" s="568"/>
    </row>
    <row r="727" spans="1:11" x14ac:dyDescent="0.25">
      <c r="A727" s="590">
        <v>36031</v>
      </c>
      <c r="B727" s="576" t="s">
        <v>364</v>
      </c>
      <c r="C727" s="562">
        <v>2500</v>
      </c>
      <c r="D727" s="581">
        <v>0</v>
      </c>
      <c r="E727" s="901">
        <v>2500</v>
      </c>
      <c r="F727" s="562"/>
      <c r="G727" s="562">
        <v>2500</v>
      </c>
      <c r="H727" s="562"/>
      <c r="I727" s="601">
        <f t="shared" si="73"/>
        <v>0</v>
      </c>
      <c r="J727" s="666"/>
      <c r="K727" s="568"/>
    </row>
    <row r="728" spans="1:11" x14ac:dyDescent="0.25">
      <c r="A728" s="590">
        <v>36040</v>
      </c>
      <c r="B728" s="576" t="s">
        <v>1254</v>
      </c>
      <c r="C728" s="562">
        <v>150000</v>
      </c>
      <c r="D728" s="562">
        <v>62858.66</v>
      </c>
      <c r="E728" s="902">
        <v>30000</v>
      </c>
      <c r="F728" s="581"/>
      <c r="G728" s="581">
        <v>30000</v>
      </c>
      <c r="H728" s="581"/>
      <c r="I728" s="601">
        <f t="shared" si="73"/>
        <v>0</v>
      </c>
      <c r="J728" s="567"/>
      <c r="K728" s="568"/>
    </row>
    <row r="729" spans="1:11" x14ac:dyDescent="0.25">
      <c r="A729" s="590">
        <v>36041</v>
      </c>
      <c r="B729" s="576" t="s">
        <v>365</v>
      </c>
      <c r="C729" s="562"/>
      <c r="D729" s="581">
        <v>19911.060000000001</v>
      </c>
      <c r="E729" s="901">
        <v>0</v>
      </c>
      <c r="F729" s="581"/>
      <c r="G729" s="581">
        <v>0</v>
      </c>
      <c r="H729" s="581"/>
      <c r="I729" s="601" t="e">
        <f t="shared" ref="I729" si="74">F729/C729</f>
        <v>#DIV/0!</v>
      </c>
      <c r="J729" s="666"/>
      <c r="K729" s="568"/>
    </row>
    <row r="730" spans="1:11" x14ac:dyDescent="0.25">
      <c r="A730" s="590">
        <v>36100</v>
      </c>
      <c r="B730" s="576" t="s">
        <v>66</v>
      </c>
      <c r="C730" s="562"/>
      <c r="D730" s="581">
        <v>0</v>
      </c>
      <c r="E730" s="901">
        <v>137571</v>
      </c>
      <c r="F730" s="581"/>
      <c r="G730" s="581">
        <v>137571</v>
      </c>
      <c r="H730" s="581"/>
      <c r="I730" s="601" t="e">
        <f t="shared" si="73"/>
        <v>#DIV/0!</v>
      </c>
      <c r="J730" s="666"/>
      <c r="K730" s="568"/>
    </row>
    <row r="731" spans="1:11" s="569" customFormat="1" x14ac:dyDescent="0.25">
      <c r="A731" s="596"/>
      <c r="B731" s="583" t="s">
        <v>366</v>
      </c>
      <c r="C731" s="587">
        <f t="shared" ref="C731:H731" si="75">SUM(C726:C730)</f>
        <v>177500</v>
      </c>
      <c r="D731" s="587">
        <f t="shared" si="75"/>
        <v>82769.72</v>
      </c>
      <c r="E731" s="953">
        <f t="shared" si="75"/>
        <v>195071</v>
      </c>
      <c r="F731" s="587">
        <f t="shared" si="75"/>
        <v>0</v>
      </c>
      <c r="G731" s="587">
        <f t="shared" si="75"/>
        <v>195071</v>
      </c>
      <c r="H731" s="587">
        <f t="shared" si="75"/>
        <v>0</v>
      </c>
      <c r="I731" s="601">
        <f t="shared" si="73"/>
        <v>0</v>
      </c>
      <c r="J731" s="567"/>
      <c r="K731" s="568"/>
    </row>
    <row r="732" spans="1:11" x14ac:dyDescent="0.25">
      <c r="A732" s="560"/>
      <c r="B732" s="561" t="s">
        <v>367</v>
      </c>
      <c r="C732" s="581"/>
      <c r="D732" s="581"/>
      <c r="E732" s="901"/>
      <c r="F732" s="581"/>
      <c r="G732" s="581"/>
      <c r="H732" s="581"/>
      <c r="I732" s="581"/>
      <c r="J732" s="567"/>
      <c r="K732" s="568"/>
    </row>
    <row r="733" spans="1:11" x14ac:dyDescent="0.25">
      <c r="A733" s="590">
        <v>38102</v>
      </c>
      <c r="B733" s="576" t="s">
        <v>368</v>
      </c>
      <c r="C733" s="581">
        <v>0</v>
      </c>
      <c r="D733" s="581">
        <v>0</v>
      </c>
      <c r="E733" s="901">
        <v>0</v>
      </c>
      <c r="F733" s="581"/>
      <c r="G733" s="581">
        <v>0</v>
      </c>
      <c r="H733" s="581"/>
      <c r="I733" s="639" t="e">
        <f t="shared" ref="I733:I738" si="76">F733/C733</f>
        <v>#DIV/0!</v>
      </c>
      <c r="J733" s="567"/>
      <c r="K733" s="568"/>
    </row>
    <row r="734" spans="1:11" x14ac:dyDescent="0.25">
      <c r="A734" s="575">
        <v>38103</v>
      </c>
      <c r="B734" s="576" t="s">
        <v>369</v>
      </c>
      <c r="C734" s="581">
        <v>0</v>
      </c>
      <c r="D734" s="581">
        <v>0</v>
      </c>
      <c r="E734" s="901">
        <v>0.01</v>
      </c>
      <c r="F734" s="581"/>
      <c r="G734" s="581">
        <v>0</v>
      </c>
      <c r="H734" s="581"/>
      <c r="I734" s="639" t="e">
        <f t="shared" si="76"/>
        <v>#DIV/0!</v>
      </c>
      <c r="J734" s="567"/>
      <c r="K734" s="568"/>
    </row>
    <row r="735" spans="1:11" x14ac:dyDescent="0.25">
      <c r="A735" s="575">
        <v>38103</v>
      </c>
      <c r="B735" s="576" t="s">
        <v>370</v>
      </c>
      <c r="C735" s="581">
        <v>44000</v>
      </c>
      <c r="D735" s="581">
        <v>0</v>
      </c>
      <c r="E735" s="901"/>
      <c r="F735" s="581"/>
      <c r="G735" s="581"/>
      <c r="H735" s="581"/>
      <c r="I735" s="639">
        <f t="shared" si="76"/>
        <v>0</v>
      </c>
      <c r="J735" s="567"/>
      <c r="K735" s="568"/>
    </row>
    <row r="736" spans="1:11" x14ac:dyDescent="0.25">
      <c r="A736" s="575">
        <v>38106</v>
      </c>
      <c r="B736" s="576" t="s">
        <v>371</v>
      </c>
      <c r="C736" s="581"/>
      <c r="D736" s="581">
        <v>0</v>
      </c>
      <c r="E736" s="901">
        <v>0.01</v>
      </c>
      <c r="F736" s="581"/>
      <c r="G736" s="581">
        <v>0</v>
      </c>
      <c r="H736" s="581"/>
      <c r="I736" s="639" t="e">
        <f t="shared" si="76"/>
        <v>#DIV/0!</v>
      </c>
      <c r="J736" s="567"/>
      <c r="K736" s="568"/>
    </row>
    <row r="737" spans="1:11" x14ac:dyDescent="0.25">
      <c r="A737" s="575">
        <v>38109</v>
      </c>
      <c r="B737" s="576" t="s">
        <v>372</v>
      </c>
      <c r="C737" s="581"/>
      <c r="D737" s="581">
        <v>0</v>
      </c>
      <c r="E737" s="901">
        <v>0.01</v>
      </c>
      <c r="F737" s="581"/>
      <c r="G737" s="581">
        <v>0</v>
      </c>
      <c r="H737" s="581"/>
      <c r="I737" s="639" t="e">
        <f t="shared" si="76"/>
        <v>#DIV/0!</v>
      </c>
      <c r="J737" s="567"/>
      <c r="K737" s="568"/>
    </row>
    <row r="738" spans="1:11" x14ac:dyDescent="0.25">
      <c r="A738" s="575"/>
      <c r="B738" s="583" t="s">
        <v>14</v>
      </c>
      <c r="C738" s="587">
        <f>SUM(C733:C737)</f>
        <v>44000</v>
      </c>
      <c r="D738" s="587">
        <f t="shared" ref="D738:F738" si="77">SUM(D733:D737)</f>
        <v>0</v>
      </c>
      <c r="E738" s="953">
        <f>SUM(E735:E737)</f>
        <v>0.02</v>
      </c>
      <c r="F738" s="587">
        <f t="shared" si="77"/>
        <v>0</v>
      </c>
      <c r="G738" s="587">
        <f>SUM(G733:G737)</f>
        <v>0</v>
      </c>
      <c r="H738" s="587">
        <f>SUM(H733:H737)</f>
        <v>0</v>
      </c>
      <c r="I738" s="639">
        <f t="shared" si="76"/>
        <v>0</v>
      </c>
      <c r="J738" s="567"/>
      <c r="K738" s="568"/>
    </row>
    <row r="739" spans="1:11" x14ac:dyDescent="0.25">
      <c r="A739" s="580"/>
      <c r="B739" s="561"/>
      <c r="C739" s="581"/>
      <c r="D739" s="581"/>
      <c r="E739" s="901"/>
      <c r="F739" s="581"/>
      <c r="G739" s="581"/>
      <c r="H739" s="581"/>
      <c r="I739" s="581"/>
      <c r="J739" s="567"/>
      <c r="K739" s="568"/>
    </row>
    <row r="740" spans="1:11" x14ac:dyDescent="0.25">
      <c r="A740" s="560"/>
      <c r="B740" s="561" t="s">
        <v>373</v>
      </c>
      <c r="C740" s="563">
        <f t="shared" ref="C740:H740" si="78">C708+C719+C724+C731+C738</f>
        <v>1267455</v>
      </c>
      <c r="D740" s="563">
        <f t="shared" si="78"/>
        <v>1071335.581</v>
      </c>
      <c r="E740" s="954">
        <f t="shared" si="78"/>
        <v>1238030.04</v>
      </c>
      <c r="F740" s="563">
        <f t="shared" si="78"/>
        <v>0</v>
      </c>
      <c r="G740" s="563">
        <f t="shared" si="78"/>
        <v>1238030</v>
      </c>
      <c r="H740" s="563">
        <f t="shared" si="78"/>
        <v>0</v>
      </c>
      <c r="I740" s="639">
        <f>F740/C740</f>
        <v>0</v>
      </c>
      <c r="J740" s="655"/>
      <c r="K740" s="568"/>
    </row>
    <row r="741" spans="1:11" x14ac:dyDescent="0.25">
      <c r="A741" s="560"/>
      <c r="B741" s="561"/>
      <c r="C741" s="564"/>
      <c r="D741" s="576"/>
      <c r="E741" s="576"/>
      <c r="F741" s="564"/>
      <c r="G741" s="581"/>
      <c r="H741" s="581"/>
      <c r="I741" s="581"/>
      <c r="J741" s="567"/>
      <c r="K741" s="568"/>
    </row>
    <row r="742" spans="1:11" s="569" customFormat="1" x14ac:dyDescent="0.25">
      <c r="A742" s="560"/>
      <c r="B742" s="561" t="s">
        <v>374</v>
      </c>
      <c r="C742" s="564"/>
      <c r="D742" s="576"/>
      <c r="E742" s="576"/>
      <c r="F742" s="564"/>
      <c r="G742" s="581"/>
      <c r="H742" s="581"/>
      <c r="I742" s="581"/>
      <c r="J742" s="567"/>
      <c r="K742" s="568"/>
    </row>
    <row r="743" spans="1:11" x14ac:dyDescent="0.25">
      <c r="A743" s="687" t="s">
        <v>376</v>
      </c>
      <c r="B743" s="628" t="s">
        <v>375</v>
      </c>
      <c r="C743" s="630">
        <v>2017</v>
      </c>
      <c r="D743" s="629" t="s">
        <v>1236</v>
      </c>
      <c r="E743" s="629">
        <v>2018</v>
      </c>
      <c r="F743" s="630" t="s">
        <v>1236</v>
      </c>
      <c r="G743" s="631" t="s">
        <v>4</v>
      </c>
      <c r="H743" s="631">
        <v>2019</v>
      </c>
      <c r="I743" s="627" t="s">
        <v>341</v>
      </c>
      <c r="J743" s="567"/>
      <c r="K743" s="568"/>
    </row>
    <row r="744" spans="1:11" x14ac:dyDescent="0.25">
      <c r="A744" s="560"/>
      <c r="B744" s="561"/>
      <c r="C744" s="630" t="s">
        <v>6</v>
      </c>
      <c r="D744" s="634">
        <v>43069</v>
      </c>
      <c r="E744" s="629" t="s">
        <v>6</v>
      </c>
      <c r="F744" s="634">
        <v>43131</v>
      </c>
      <c r="G744" s="635" t="s">
        <v>1131</v>
      </c>
      <c r="H744" s="635" t="s">
        <v>6</v>
      </c>
      <c r="I744" s="627" t="s">
        <v>92</v>
      </c>
      <c r="J744" s="567"/>
      <c r="K744" s="568"/>
    </row>
    <row r="745" spans="1:11" x14ac:dyDescent="0.25">
      <c r="A745" s="590"/>
      <c r="B745" s="576" t="s">
        <v>93</v>
      </c>
      <c r="C745" s="578"/>
      <c r="D745" s="577"/>
      <c r="E745" s="577"/>
      <c r="F745" s="564"/>
      <c r="G745" s="581"/>
      <c r="H745" s="581"/>
      <c r="I745" s="581"/>
      <c r="J745" s="567"/>
      <c r="K745" s="568"/>
    </row>
    <row r="746" spans="1:11" x14ac:dyDescent="0.25">
      <c r="A746" s="590">
        <v>63100</v>
      </c>
      <c r="B746" s="576" t="s">
        <v>377</v>
      </c>
      <c r="C746" s="564">
        <v>0.01</v>
      </c>
      <c r="D746" s="576">
        <v>0</v>
      </c>
      <c r="E746" s="564">
        <v>0.01</v>
      </c>
      <c r="F746" s="564">
        <v>0</v>
      </c>
      <c r="G746" s="581">
        <v>0</v>
      </c>
      <c r="H746" s="581">
        <v>0</v>
      </c>
      <c r="I746" s="639">
        <f>F746/C746</f>
        <v>0</v>
      </c>
      <c r="J746" s="567"/>
      <c r="K746" s="568"/>
    </row>
    <row r="747" spans="1:11" x14ac:dyDescent="0.25">
      <c r="A747" s="560"/>
      <c r="B747" s="561" t="s">
        <v>116</v>
      </c>
      <c r="C747" s="565">
        <f>SUM(C746)</f>
        <v>0.01</v>
      </c>
      <c r="D747" s="566">
        <f t="shared" ref="D747:H747" si="79">SUM(D746)</f>
        <v>0</v>
      </c>
      <c r="E747" s="566">
        <f>SUM(E746)</f>
        <v>0.01</v>
      </c>
      <c r="F747" s="565">
        <f t="shared" si="79"/>
        <v>0</v>
      </c>
      <c r="G747" s="566">
        <f>SUM(G746)</f>
        <v>0</v>
      </c>
      <c r="H747" s="566">
        <f t="shared" si="79"/>
        <v>0</v>
      </c>
      <c r="I747" s="639">
        <f>F747/C747</f>
        <v>0</v>
      </c>
      <c r="J747" s="567"/>
      <c r="K747" s="568"/>
    </row>
    <row r="748" spans="1:11" s="569" customFormat="1" x14ac:dyDescent="0.25">
      <c r="A748" s="590"/>
      <c r="B748" s="576"/>
      <c r="C748" s="564"/>
      <c r="D748" s="576"/>
      <c r="E748" s="576"/>
      <c r="F748" s="564"/>
      <c r="G748" s="581"/>
      <c r="H748" s="581"/>
      <c r="I748" s="581"/>
      <c r="J748" s="567"/>
      <c r="K748" s="568"/>
    </row>
    <row r="749" spans="1:11" x14ac:dyDescent="0.25">
      <c r="A749" s="687" t="s">
        <v>379</v>
      </c>
      <c r="B749" s="628" t="s">
        <v>378</v>
      </c>
      <c r="C749" s="630">
        <v>2017</v>
      </c>
      <c r="D749" s="629" t="s">
        <v>1236</v>
      </c>
      <c r="E749" s="629">
        <v>2018</v>
      </c>
      <c r="F749" s="630" t="s">
        <v>1236</v>
      </c>
      <c r="G749" s="631" t="s">
        <v>4</v>
      </c>
      <c r="H749" s="631">
        <v>2019</v>
      </c>
      <c r="I749" s="627" t="s">
        <v>341</v>
      </c>
      <c r="J749" s="567"/>
      <c r="K749" s="568"/>
    </row>
    <row r="750" spans="1:11" x14ac:dyDescent="0.25">
      <c r="A750" s="560"/>
      <c r="B750" s="561"/>
      <c r="C750" s="630" t="s">
        <v>6</v>
      </c>
      <c r="D750" s="634">
        <v>43069</v>
      </c>
      <c r="E750" s="629" t="s">
        <v>6</v>
      </c>
      <c r="F750" s="634">
        <v>43131</v>
      </c>
      <c r="G750" s="635" t="s">
        <v>1131</v>
      </c>
      <c r="H750" s="635" t="s">
        <v>6</v>
      </c>
      <c r="I750" s="627" t="s">
        <v>92</v>
      </c>
      <c r="J750" s="567"/>
      <c r="K750" s="568"/>
    </row>
    <row r="751" spans="1:11" x14ac:dyDescent="0.25">
      <c r="A751" s="590"/>
      <c r="B751" s="576" t="s">
        <v>93</v>
      </c>
      <c r="C751" s="578"/>
      <c r="D751" s="577"/>
      <c r="E751" s="577"/>
      <c r="F751" s="564"/>
      <c r="G751" s="581"/>
      <c r="H751" s="581"/>
      <c r="I751" s="581"/>
      <c r="J751" s="567"/>
      <c r="K751" s="568"/>
    </row>
    <row r="752" spans="1:11" x14ac:dyDescent="0.25">
      <c r="A752" s="590">
        <v>40110</v>
      </c>
      <c r="B752" s="576" t="s">
        <v>380</v>
      </c>
      <c r="C752" s="562">
        <v>248296</v>
      </c>
      <c r="D752" s="581">
        <f>188236.15+16609.58+16138.94+11956.98</f>
        <v>232941.65</v>
      </c>
      <c r="E752" s="901">
        <v>240000</v>
      </c>
      <c r="F752" s="581"/>
      <c r="G752" s="581">
        <v>240000</v>
      </c>
      <c r="H752" s="581"/>
      <c r="I752" s="639"/>
      <c r="J752" s="567"/>
      <c r="K752" s="568"/>
    </row>
    <row r="753" spans="1:11" x14ac:dyDescent="0.25">
      <c r="A753" s="590">
        <v>40210</v>
      </c>
      <c r="B753" s="576" t="s">
        <v>381</v>
      </c>
      <c r="C753" s="562">
        <v>3000</v>
      </c>
      <c r="D753" s="581">
        <v>5915.48</v>
      </c>
      <c r="E753" s="901">
        <v>6000</v>
      </c>
      <c r="F753" s="581"/>
      <c r="G753" s="581">
        <v>6000</v>
      </c>
      <c r="H753" s="581"/>
      <c r="I753" s="639">
        <f t="shared" ref="I753:I773" si="80">F753/C753</f>
        <v>0</v>
      </c>
      <c r="J753" s="567"/>
      <c r="K753" s="568"/>
    </row>
    <row r="754" spans="1:11" x14ac:dyDescent="0.25">
      <c r="A754" s="590">
        <v>41410</v>
      </c>
      <c r="B754" s="576" t="s">
        <v>478</v>
      </c>
      <c r="C754" s="562"/>
      <c r="D754" s="581">
        <v>638.01</v>
      </c>
      <c r="E754" s="901">
        <f>246000*0.003</f>
        <v>738</v>
      </c>
      <c r="F754" s="581"/>
      <c r="G754" s="581">
        <v>738</v>
      </c>
      <c r="H754" s="581"/>
      <c r="I754" s="639"/>
      <c r="J754" s="567"/>
      <c r="K754" s="568"/>
    </row>
    <row r="755" spans="1:11" x14ac:dyDescent="0.25">
      <c r="A755" s="590">
        <v>41420</v>
      </c>
      <c r="B755" s="576" t="s">
        <v>382</v>
      </c>
      <c r="C755" s="562">
        <v>14901</v>
      </c>
      <c r="D755" s="581">
        <v>15014.4</v>
      </c>
      <c r="E755" s="901">
        <v>12397</v>
      </c>
      <c r="F755" s="581"/>
      <c r="G755" s="581">
        <v>12397</v>
      </c>
      <c r="H755" s="581"/>
      <c r="I755" s="639">
        <f t="shared" si="80"/>
        <v>0</v>
      </c>
      <c r="J755" s="567"/>
      <c r="K755" s="568"/>
    </row>
    <row r="756" spans="1:11" x14ac:dyDescent="0.25">
      <c r="A756" s="590">
        <v>41430</v>
      </c>
      <c r="B756" s="576" t="s">
        <v>98</v>
      </c>
      <c r="C756" s="562">
        <v>50226</v>
      </c>
      <c r="D756" s="581">
        <v>41852.300000000003</v>
      </c>
      <c r="E756" s="901">
        <v>29362</v>
      </c>
      <c r="F756" s="581"/>
      <c r="G756" s="581">
        <v>29362</v>
      </c>
      <c r="H756" s="581"/>
      <c r="I756" s="639">
        <f t="shared" si="80"/>
        <v>0</v>
      </c>
      <c r="J756" s="567"/>
      <c r="K756" s="568"/>
    </row>
    <row r="757" spans="1:11" x14ac:dyDescent="0.25">
      <c r="A757" s="590">
        <v>41440</v>
      </c>
      <c r="B757" s="576" t="s">
        <v>100</v>
      </c>
      <c r="C757" s="562">
        <v>15580</v>
      </c>
      <c r="D757" s="581">
        <v>13268.75</v>
      </c>
      <c r="E757" s="901">
        <f>246000*6.2%</f>
        <v>15252</v>
      </c>
      <c r="F757" s="581"/>
      <c r="G757" s="901">
        <f>246000*6.2%</f>
        <v>15252</v>
      </c>
      <c r="H757" s="581"/>
      <c r="I757" s="639">
        <f t="shared" si="80"/>
        <v>0</v>
      </c>
      <c r="J757" s="567"/>
      <c r="K757" s="568"/>
    </row>
    <row r="758" spans="1:11" x14ac:dyDescent="0.25">
      <c r="A758" s="590">
        <v>41450</v>
      </c>
      <c r="B758" s="576" t="s">
        <v>101</v>
      </c>
      <c r="C758" s="562">
        <v>3644</v>
      </c>
      <c r="D758" s="581">
        <v>3103.11</v>
      </c>
      <c r="E758" s="901">
        <f>246000*1.45%</f>
        <v>3566.9999999999995</v>
      </c>
      <c r="F758" s="581"/>
      <c r="G758" s="901">
        <f>246000*1.45%</f>
        <v>3566.9999999999995</v>
      </c>
      <c r="H758" s="581"/>
      <c r="I758" s="639">
        <f t="shared" si="80"/>
        <v>0</v>
      </c>
      <c r="J758" s="567"/>
      <c r="K758" s="568"/>
    </row>
    <row r="759" spans="1:11" x14ac:dyDescent="0.25">
      <c r="A759" s="590">
        <v>41470</v>
      </c>
      <c r="B759" s="576" t="s">
        <v>102</v>
      </c>
      <c r="C759" s="562">
        <v>133</v>
      </c>
      <c r="D759" s="581">
        <v>122.2</v>
      </c>
      <c r="E759" s="901">
        <v>85</v>
      </c>
      <c r="F759" s="581"/>
      <c r="G759" s="581">
        <v>85</v>
      </c>
      <c r="H759" s="581"/>
      <c r="I759" s="639">
        <f t="shared" si="80"/>
        <v>0</v>
      </c>
      <c r="J759" s="567"/>
      <c r="K759" s="568"/>
    </row>
    <row r="760" spans="1:11" s="906" customFormat="1" x14ac:dyDescent="0.25">
      <c r="A760" s="899">
        <v>50310</v>
      </c>
      <c r="B760" s="900" t="s">
        <v>383</v>
      </c>
      <c r="C760" s="902">
        <v>90000</v>
      </c>
      <c r="D760" s="901">
        <v>112549.56</v>
      </c>
      <c r="E760" s="901">
        <v>98000</v>
      </c>
      <c r="F760" s="901"/>
      <c r="G760" s="901">
        <v>98000</v>
      </c>
      <c r="H760" s="901"/>
      <c r="I760" s="903">
        <f t="shared" si="80"/>
        <v>0</v>
      </c>
      <c r="J760" s="904"/>
      <c r="K760" s="905"/>
    </row>
    <row r="761" spans="1:11" s="906" customFormat="1" x14ac:dyDescent="0.25">
      <c r="A761" s="899">
        <v>50311</v>
      </c>
      <c r="B761" s="900" t="s">
        <v>285</v>
      </c>
      <c r="C761" s="902">
        <v>6500</v>
      </c>
      <c r="D761" s="901">
        <v>8885.99</v>
      </c>
      <c r="E761" s="901">
        <v>6500</v>
      </c>
      <c r="F761" s="901"/>
      <c r="G761" s="901">
        <v>6500</v>
      </c>
      <c r="H761" s="901"/>
      <c r="I761" s="903">
        <f t="shared" si="80"/>
        <v>0</v>
      </c>
      <c r="J761" s="904"/>
      <c r="K761" s="905"/>
    </row>
    <row r="762" spans="1:11" s="906" customFormat="1" x14ac:dyDescent="0.25">
      <c r="A762" s="899">
        <v>50312</v>
      </c>
      <c r="B762" s="900" t="s">
        <v>384</v>
      </c>
      <c r="C762" s="902">
        <v>25000</v>
      </c>
      <c r="D762" s="901">
        <v>14835.97</v>
      </c>
      <c r="E762" s="901">
        <v>18000</v>
      </c>
      <c r="F762" s="901"/>
      <c r="G762" s="901">
        <v>18000</v>
      </c>
      <c r="H762" s="901"/>
      <c r="I762" s="903">
        <f t="shared" si="80"/>
        <v>0</v>
      </c>
      <c r="J762" s="904"/>
      <c r="K762" s="905"/>
    </row>
    <row r="763" spans="1:11" s="906" customFormat="1" x14ac:dyDescent="0.25">
      <c r="A763" s="899">
        <v>51330</v>
      </c>
      <c r="B763" s="900" t="s">
        <v>385</v>
      </c>
      <c r="C763" s="902">
        <v>65000</v>
      </c>
      <c r="D763" s="907">
        <v>103956.55</v>
      </c>
      <c r="E763" s="907">
        <v>80000</v>
      </c>
      <c r="F763" s="901"/>
      <c r="G763" s="901">
        <v>80000</v>
      </c>
      <c r="H763" s="901"/>
      <c r="I763" s="903">
        <f t="shared" si="80"/>
        <v>0</v>
      </c>
      <c r="J763" s="904"/>
      <c r="K763" s="905"/>
    </row>
    <row r="764" spans="1:11" s="906" customFormat="1" x14ac:dyDescent="0.25">
      <c r="A764" s="899">
        <v>52340</v>
      </c>
      <c r="B764" s="900" t="s">
        <v>386</v>
      </c>
      <c r="C764" s="902">
        <v>1000</v>
      </c>
      <c r="D764" s="901">
        <v>384.23</v>
      </c>
      <c r="E764" s="901">
        <v>500</v>
      </c>
      <c r="F764" s="901"/>
      <c r="G764" s="901">
        <v>500</v>
      </c>
      <c r="H764" s="901"/>
      <c r="I764" s="903">
        <f t="shared" si="80"/>
        <v>0</v>
      </c>
      <c r="J764" s="904"/>
      <c r="K764" s="905"/>
    </row>
    <row r="765" spans="1:11" s="906" customFormat="1" x14ac:dyDescent="0.25">
      <c r="A765" s="899">
        <v>52343</v>
      </c>
      <c r="B765" s="900" t="s">
        <v>387</v>
      </c>
      <c r="C765" s="902">
        <v>1000</v>
      </c>
      <c r="D765" s="901">
        <v>0</v>
      </c>
      <c r="E765" s="901">
        <v>750</v>
      </c>
      <c r="F765" s="901"/>
      <c r="G765" s="901">
        <v>750</v>
      </c>
      <c r="H765" s="901"/>
      <c r="I765" s="903">
        <f t="shared" si="80"/>
        <v>0</v>
      </c>
      <c r="J765" s="904"/>
      <c r="K765" s="905"/>
    </row>
    <row r="766" spans="1:11" s="906" customFormat="1" x14ac:dyDescent="0.25">
      <c r="A766" s="899">
        <v>52344</v>
      </c>
      <c r="B766" s="900" t="s">
        <v>388</v>
      </c>
      <c r="C766" s="902">
        <v>5000</v>
      </c>
      <c r="D766" s="901">
        <v>0</v>
      </c>
      <c r="E766" s="901">
        <v>2000</v>
      </c>
      <c r="F766" s="901"/>
      <c r="G766" s="901">
        <v>2000</v>
      </c>
      <c r="H766" s="901"/>
      <c r="I766" s="903">
        <f t="shared" si="80"/>
        <v>0</v>
      </c>
      <c r="J766" s="904"/>
      <c r="K766" s="905"/>
    </row>
    <row r="767" spans="1:11" s="906" customFormat="1" x14ac:dyDescent="0.25">
      <c r="A767" s="899">
        <v>53550</v>
      </c>
      <c r="B767" s="900" t="s">
        <v>287</v>
      </c>
      <c r="C767" s="902">
        <v>6000</v>
      </c>
      <c r="D767" s="901">
        <v>10350.19</v>
      </c>
      <c r="E767" s="901">
        <v>7000</v>
      </c>
      <c r="F767" s="901"/>
      <c r="G767" s="901">
        <v>7000</v>
      </c>
      <c r="H767" s="901"/>
      <c r="I767" s="903">
        <f t="shared" si="80"/>
        <v>0</v>
      </c>
      <c r="J767" s="904"/>
      <c r="K767" s="905"/>
    </row>
    <row r="768" spans="1:11" s="906" customFormat="1" x14ac:dyDescent="0.25">
      <c r="A768" s="899">
        <v>59120</v>
      </c>
      <c r="B768" s="900" t="s">
        <v>290</v>
      </c>
      <c r="C768" s="902">
        <v>12000</v>
      </c>
      <c r="D768" s="901">
        <v>830.16</v>
      </c>
      <c r="E768" s="901">
        <v>7500</v>
      </c>
      <c r="F768" s="901"/>
      <c r="G768" s="901">
        <v>7500</v>
      </c>
      <c r="H768" s="901"/>
      <c r="I768" s="903">
        <f t="shared" si="80"/>
        <v>0</v>
      </c>
      <c r="J768" s="904"/>
      <c r="K768" s="905"/>
    </row>
    <row r="769" spans="1:11" s="906" customFormat="1" x14ac:dyDescent="0.25">
      <c r="A769" s="899">
        <v>63100</v>
      </c>
      <c r="B769" s="900" t="s">
        <v>389</v>
      </c>
      <c r="C769" s="902">
        <v>1500</v>
      </c>
      <c r="D769" s="901">
        <v>290</v>
      </c>
      <c r="E769" s="901">
        <v>500</v>
      </c>
      <c r="F769" s="901"/>
      <c r="G769" s="901">
        <v>500</v>
      </c>
      <c r="H769" s="901"/>
      <c r="I769" s="903">
        <f t="shared" si="80"/>
        <v>0</v>
      </c>
      <c r="J769" s="904"/>
      <c r="K769" s="905"/>
    </row>
    <row r="770" spans="1:11" s="906" customFormat="1" x14ac:dyDescent="0.25">
      <c r="A770" s="899">
        <v>64100</v>
      </c>
      <c r="B770" s="900" t="s">
        <v>294</v>
      </c>
      <c r="C770" s="902">
        <v>2000</v>
      </c>
      <c r="D770" s="901">
        <v>465.25</v>
      </c>
      <c r="E770" s="901">
        <v>750</v>
      </c>
      <c r="F770" s="901"/>
      <c r="G770" s="901">
        <v>750</v>
      </c>
      <c r="H770" s="901"/>
      <c r="I770" s="903">
        <f t="shared" si="80"/>
        <v>0</v>
      </c>
      <c r="J770" s="904"/>
      <c r="K770" s="905"/>
    </row>
    <row r="771" spans="1:11" x14ac:dyDescent="0.25">
      <c r="A771" s="590">
        <v>64120</v>
      </c>
      <c r="B771" s="576" t="s">
        <v>390</v>
      </c>
      <c r="C771" s="562">
        <v>39000</v>
      </c>
      <c r="D771" s="581">
        <v>10907.8</v>
      </c>
      <c r="E771" s="901">
        <v>30000</v>
      </c>
      <c r="F771" s="581"/>
      <c r="G771" s="581">
        <v>30000</v>
      </c>
      <c r="H771" s="581"/>
      <c r="I771" s="639">
        <f t="shared" si="80"/>
        <v>0</v>
      </c>
      <c r="J771" s="567"/>
      <c r="K771" s="568"/>
    </row>
    <row r="772" spans="1:11" x14ac:dyDescent="0.25">
      <c r="A772" s="590">
        <v>64600</v>
      </c>
      <c r="B772" s="576" t="s">
        <v>391</v>
      </c>
      <c r="C772" s="562">
        <v>1000</v>
      </c>
      <c r="D772" s="581">
        <v>-1892.67</v>
      </c>
      <c r="E772" s="901">
        <v>1000</v>
      </c>
      <c r="F772" s="581"/>
      <c r="G772" s="581">
        <v>1000</v>
      </c>
      <c r="H772" s="581"/>
      <c r="I772" s="639">
        <f t="shared" si="80"/>
        <v>0</v>
      </c>
      <c r="J772" s="567"/>
      <c r="K772" s="568"/>
    </row>
    <row r="773" spans="1:11" x14ac:dyDescent="0.25">
      <c r="A773" s="590">
        <v>64905</v>
      </c>
      <c r="B773" s="576" t="s">
        <v>392</v>
      </c>
      <c r="C773" s="562">
        <v>3500</v>
      </c>
      <c r="D773" s="581">
        <v>176.28</v>
      </c>
      <c r="E773" s="901">
        <v>3500</v>
      </c>
      <c r="F773" s="581"/>
      <c r="G773" s="581">
        <v>3500</v>
      </c>
      <c r="H773" s="581"/>
      <c r="I773" s="639">
        <f t="shared" si="80"/>
        <v>0</v>
      </c>
      <c r="J773" s="567"/>
      <c r="K773" s="568"/>
    </row>
    <row r="774" spans="1:11" x14ac:dyDescent="0.25">
      <c r="A774" s="590">
        <v>64905</v>
      </c>
      <c r="B774" s="576" t="s">
        <v>1152</v>
      </c>
      <c r="C774" s="581"/>
      <c r="D774" s="581"/>
      <c r="E774" s="901"/>
      <c r="F774" s="581"/>
      <c r="G774" s="581"/>
      <c r="H774" s="581"/>
      <c r="I774" s="581"/>
      <c r="J774" s="567"/>
      <c r="K774" s="568"/>
    </row>
    <row r="775" spans="1:11" x14ac:dyDescent="0.25">
      <c r="A775" s="590">
        <v>64905</v>
      </c>
      <c r="B775" s="576" t="s">
        <v>1153</v>
      </c>
      <c r="C775" s="581"/>
      <c r="D775" s="581"/>
      <c r="E775" s="901"/>
      <c r="F775" s="581"/>
      <c r="G775" s="581"/>
      <c r="H775" s="581"/>
      <c r="I775" s="581"/>
      <c r="J775" s="567"/>
      <c r="K775" s="568"/>
    </row>
    <row r="776" spans="1:11" x14ac:dyDescent="0.25">
      <c r="A776" s="560"/>
      <c r="B776" s="561" t="s">
        <v>116</v>
      </c>
      <c r="C776" s="563">
        <f t="shared" ref="C776:H776" si="81">SUM(C752:C775)</f>
        <v>594280</v>
      </c>
      <c r="D776" s="563">
        <f t="shared" si="81"/>
        <v>574595.21</v>
      </c>
      <c r="E776" s="954">
        <f t="shared" si="81"/>
        <v>563401</v>
      </c>
      <c r="F776" s="563">
        <f t="shared" si="81"/>
        <v>0</v>
      </c>
      <c r="G776" s="563">
        <f t="shared" si="81"/>
        <v>563401</v>
      </c>
      <c r="H776" s="563">
        <f t="shared" si="81"/>
        <v>0</v>
      </c>
      <c r="I776" s="639">
        <f>F776/C776</f>
        <v>0</v>
      </c>
      <c r="J776" s="567"/>
      <c r="K776" s="568"/>
    </row>
    <row r="777" spans="1:11" s="569" customFormat="1" x14ac:dyDescent="0.25">
      <c r="A777" s="560"/>
      <c r="B777" s="561"/>
      <c r="C777" s="674"/>
      <c r="D777" s="563"/>
      <c r="E777" s="562"/>
      <c r="F777" s="564"/>
      <c r="G777" s="581"/>
      <c r="H777" s="581"/>
      <c r="I777" s="581"/>
      <c r="J777" s="567"/>
      <c r="K777" s="568"/>
    </row>
    <row r="778" spans="1:11" x14ac:dyDescent="0.25">
      <c r="A778" s="687" t="s">
        <v>395</v>
      </c>
      <c r="B778" s="628" t="s">
        <v>394</v>
      </c>
      <c r="C778" s="630">
        <v>2017</v>
      </c>
      <c r="D778" s="629" t="s">
        <v>1236</v>
      </c>
      <c r="E778" s="629">
        <v>2018</v>
      </c>
      <c r="F778" s="630" t="s">
        <v>1236</v>
      </c>
      <c r="G778" s="631" t="s">
        <v>4</v>
      </c>
      <c r="H778" s="631">
        <v>2019</v>
      </c>
      <c r="I778" s="627" t="s">
        <v>341</v>
      </c>
      <c r="J778" s="567"/>
      <c r="K778" s="568"/>
    </row>
    <row r="779" spans="1:11" x14ac:dyDescent="0.25">
      <c r="A779" s="560"/>
      <c r="B779" s="561"/>
      <c r="C779" s="630" t="s">
        <v>6</v>
      </c>
      <c r="D779" s="634">
        <v>43069</v>
      </c>
      <c r="E779" s="629" t="s">
        <v>6</v>
      </c>
      <c r="F779" s="634">
        <v>43131</v>
      </c>
      <c r="G779" s="635" t="s">
        <v>1131</v>
      </c>
      <c r="H779" s="635" t="s">
        <v>6</v>
      </c>
      <c r="I779" s="627" t="s">
        <v>92</v>
      </c>
      <c r="J779" s="567"/>
      <c r="K779" s="568"/>
    </row>
    <row r="780" spans="1:11" x14ac:dyDescent="0.25">
      <c r="A780" s="590"/>
      <c r="B780" s="576" t="s">
        <v>93</v>
      </c>
      <c r="C780" s="578"/>
      <c r="D780" s="577"/>
      <c r="E780" s="577"/>
      <c r="F780" s="564"/>
      <c r="G780" s="581"/>
      <c r="H780" s="581"/>
      <c r="I780" s="581"/>
      <c r="J780" s="567"/>
      <c r="K780" s="568"/>
    </row>
    <row r="781" spans="1:11" x14ac:dyDescent="0.25">
      <c r="A781" s="590">
        <v>40110</v>
      </c>
      <c r="B781" s="576" t="s">
        <v>380</v>
      </c>
      <c r="C781" s="562">
        <v>82765</v>
      </c>
      <c r="D781" s="581">
        <f>43500.08</f>
        <v>43500.08</v>
      </c>
      <c r="E781" s="901">
        <v>50000</v>
      </c>
      <c r="F781" s="581"/>
      <c r="G781" s="581">
        <v>50000</v>
      </c>
      <c r="H781" s="581"/>
      <c r="I781" s="639">
        <f t="shared" ref="I781:I794" si="82">F781/C781</f>
        <v>0</v>
      </c>
      <c r="J781" s="567"/>
      <c r="K781" s="568"/>
    </row>
    <row r="782" spans="1:11" x14ac:dyDescent="0.25">
      <c r="A782" s="590">
        <v>40210</v>
      </c>
      <c r="B782" s="576" t="s">
        <v>381</v>
      </c>
      <c r="C782" s="562">
        <v>5000</v>
      </c>
      <c r="D782" s="581">
        <v>4669.53</v>
      </c>
      <c r="E782" s="901">
        <v>5000</v>
      </c>
      <c r="F782" s="581"/>
      <c r="G782" s="581">
        <v>5000</v>
      </c>
      <c r="H782" s="581"/>
      <c r="I782" s="639">
        <f t="shared" si="82"/>
        <v>0</v>
      </c>
      <c r="J782" s="567"/>
      <c r="K782" s="568"/>
    </row>
    <row r="783" spans="1:11" x14ac:dyDescent="0.25">
      <c r="A783" s="590">
        <v>41410</v>
      </c>
      <c r="B783" s="576" t="s">
        <v>478</v>
      </c>
      <c r="C783" s="562"/>
      <c r="D783" s="581">
        <v>130.93</v>
      </c>
      <c r="E783" s="901">
        <f>55000*0.003</f>
        <v>165</v>
      </c>
      <c r="F783" s="581"/>
      <c r="G783" s="581">
        <v>165</v>
      </c>
      <c r="H783" s="581"/>
      <c r="I783" s="639"/>
      <c r="J783" s="567"/>
      <c r="K783" s="568"/>
    </row>
    <row r="784" spans="1:11" x14ac:dyDescent="0.25">
      <c r="A784" s="590">
        <v>41420</v>
      </c>
      <c r="B784" s="576" t="s">
        <v>382</v>
      </c>
      <c r="C784" s="562">
        <v>4967</v>
      </c>
      <c r="D784" s="581">
        <v>5080.3999999999996</v>
      </c>
      <c r="E784" s="901">
        <f>55000*11%</f>
        <v>6050</v>
      </c>
      <c r="F784" s="581"/>
      <c r="G784" s="581">
        <v>6050</v>
      </c>
      <c r="H784" s="581"/>
      <c r="I784" s="639">
        <f t="shared" si="82"/>
        <v>0</v>
      </c>
      <c r="J784" s="567"/>
      <c r="K784" s="568"/>
    </row>
    <row r="785" spans="1:11" x14ac:dyDescent="0.25">
      <c r="A785" s="590">
        <v>41430</v>
      </c>
      <c r="B785" s="576" t="s">
        <v>98</v>
      </c>
      <c r="C785" s="562">
        <v>16742</v>
      </c>
      <c r="D785" s="581">
        <v>7488.89</v>
      </c>
      <c r="E785" s="901">
        <v>14789</v>
      </c>
      <c r="F785" s="581"/>
      <c r="G785" s="581">
        <v>14789</v>
      </c>
      <c r="H785" s="581"/>
      <c r="I785" s="639">
        <f t="shared" si="82"/>
        <v>0</v>
      </c>
      <c r="J785" s="567"/>
      <c r="K785" s="568"/>
    </row>
    <row r="786" spans="1:11" x14ac:dyDescent="0.25">
      <c r="A786" s="590">
        <v>41440</v>
      </c>
      <c r="B786" s="576" t="s">
        <v>100</v>
      </c>
      <c r="C786" s="562">
        <v>5441</v>
      </c>
      <c r="D786" s="581">
        <v>2713.89</v>
      </c>
      <c r="E786" s="901">
        <f>55000*6.2%</f>
        <v>3410</v>
      </c>
      <c r="F786" s="581"/>
      <c r="G786" s="901">
        <f>55000*6.2%</f>
        <v>3410</v>
      </c>
      <c r="H786" s="581"/>
      <c r="I786" s="639">
        <f t="shared" si="82"/>
        <v>0</v>
      </c>
      <c r="J786" s="567"/>
      <c r="K786" s="568"/>
    </row>
    <row r="787" spans="1:11" x14ac:dyDescent="0.25">
      <c r="A787" s="590">
        <v>41450</v>
      </c>
      <c r="B787" s="576" t="s">
        <v>101</v>
      </c>
      <c r="C787" s="562">
        <v>1273</v>
      </c>
      <c r="D787" s="581">
        <v>634.76</v>
      </c>
      <c r="E787" s="901">
        <f>55000*1.45%</f>
        <v>797.5</v>
      </c>
      <c r="F787" s="581"/>
      <c r="G787" s="901">
        <f>55000*1.45%</f>
        <v>797.5</v>
      </c>
      <c r="H787" s="581"/>
      <c r="I787" s="639">
        <f t="shared" si="82"/>
        <v>0</v>
      </c>
      <c r="J787" s="567"/>
      <c r="K787" s="568"/>
    </row>
    <row r="788" spans="1:11" x14ac:dyDescent="0.25">
      <c r="A788" s="590">
        <v>41470</v>
      </c>
      <c r="B788" s="576" t="s">
        <v>102</v>
      </c>
      <c r="C788" s="562">
        <v>44</v>
      </c>
      <c r="D788" s="581">
        <v>22.98</v>
      </c>
      <c r="E788" s="901">
        <v>49</v>
      </c>
      <c r="F788" s="581"/>
      <c r="G788" s="581">
        <v>49</v>
      </c>
      <c r="H788" s="581"/>
      <c r="I788" s="639">
        <f t="shared" si="82"/>
        <v>0</v>
      </c>
      <c r="J788" s="567"/>
      <c r="K788" s="568"/>
    </row>
    <row r="789" spans="1:11" x14ac:dyDescent="0.25">
      <c r="A789" s="590">
        <v>50310</v>
      </c>
      <c r="B789" s="576" t="s">
        <v>383</v>
      </c>
      <c r="C789" s="562">
        <v>20000</v>
      </c>
      <c r="D789" s="581">
        <v>0</v>
      </c>
      <c r="E789" s="901">
        <v>18000</v>
      </c>
      <c r="F789" s="581"/>
      <c r="G789" s="581">
        <v>18000</v>
      </c>
      <c r="H789" s="581"/>
      <c r="I789" s="639">
        <f t="shared" si="82"/>
        <v>0</v>
      </c>
      <c r="J789" s="567"/>
      <c r="K789" s="568"/>
    </row>
    <row r="790" spans="1:11" x14ac:dyDescent="0.25">
      <c r="A790" s="590">
        <v>50313</v>
      </c>
      <c r="B790" s="576" t="s">
        <v>396</v>
      </c>
      <c r="C790" s="562">
        <v>2000</v>
      </c>
      <c r="D790" s="581">
        <v>0</v>
      </c>
      <c r="E790" s="901">
        <v>1000</v>
      </c>
      <c r="F790" s="581"/>
      <c r="G790" s="581">
        <v>1000</v>
      </c>
      <c r="H790" s="581"/>
      <c r="I790" s="639">
        <f t="shared" si="82"/>
        <v>0</v>
      </c>
      <c r="J790" s="567"/>
      <c r="K790" s="568"/>
    </row>
    <row r="791" spans="1:11" x14ac:dyDescent="0.25">
      <c r="A791" s="575">
        <v>51330</v>
      </c>
      <c r="B791" s="576" t="s">
        <v>397</v>
      </c>
      <c r="C791" s="562">
        <v>1500</v>
      </c>
      <c r="D791" s="581">
        <v>99.48</v>
      </c>
      <c r="E791" s="901">
        <v>500</v>
      </c>
      <c r="F791" s="581"/>
      <c r="G791" s="581">
        <v>500</v>
      </c>
      <c r="H791" s="581"/>
      <c r="I791" s="639">
        <f t="shared" si="82"/>
        <v>0</v>
      </c>
      <c r="J791" s="567"/>
      <c r="K791" s="568"/>
    </row>
    <row r="792" spans="1:11" x14ac:dyDescent="0.25">
      <c r="A792" s="590">
        <v>53550</v>
      </c>
      <c r="B792" s="576" t="s">
        <v>287</v>
      </c>
      <c r="C792" s="562">
        <v>1500</v>
      </c>
      <c r="D792" s="581">
        <v>0</v>
      </c>
      <c r="E792" s="901">
        <v>500</v>
      </c>
      <c r="F792" s="581"/>
      <c r="G792" s="581">
        <v>500</v>
      </c>
      <c r="H792" s="581"/>
      <c r="I792" s="639">
        <f t="shared" si="82"/>
        <v>0</v>
      </c>
      <c r="J792" s="567"/>
      <c r="K792" s="568"/>
    </row>
    <row r="793" spans="1:11" x14ac:dyDescent="0.25">
      <c r="A793" s="590">
        <v>64120</v>
      </c>
      <c r="B793" s="576" t="s">
        <v>390</v>
      </c>
      <c r="C793" s="562">
        <v>2000</v>
      </c>
      <c r="D793" s="581">
        <v>0</v>
      </c>
      <c r="E793" s="901">
        <v>500</v>
      </c>
      <c r="F793" s="581"/>
      <c r="G793" s="581">
        <v>500</v>
      </c>
      <c r="H793" s="581"/>
      <c r="I793" s="639">
        <f t="shared" si="82"/>
        <v>0</v>
      </c>
      <c r="J793" s="567"/>
      <c r="K793" s="568"/>
    </row>
    <row r="794" spans="1:11" x14ac:dyDescent="0.25">
      <c r="A794" s="560"/>
      <c r="B794" s="561" t="s">
        <v>116</v>
      </c>
      <c r="C794" s="566">
        <f>SUM(C781:C793)</f>
        <v>143232</v>
      </c>
      <c r="D794" s="566">
        <f t="shared" ref="D794:H794" si="83">SUM(D781:D793)</f>
        <v>64340.94000000001</v>
      </c>
      <c r="E794" s="956">
        <f>SUM(E781:E793)</f>
        <v>100760.5</v>
      </c>
      <c r="F794" s="566">
        <f t="shared" si="83"/>
        <v>0</v>
      </c>
      <c r="G794" s="566">
        <f>SUM(G781:G793)</f>
        <v>100760.5</v>
      </c>
      <c r="H794" s="566">
        <f t="shared" si="83"/>
        <v>0</v>
      </c>
      <c r="I794" s="639">
        <f t="shared" si="82"/>
        <v>0</v>
      </c>
      <c r="J794" s="567"/>
      <c r="K794" s="568"/>
    </row>
    <row r="795" spans="1:11" s="569" customFormat="1" x14ac:dyDescent="0.25">
      <c r="A795" s="590"/>
      <c r="B795" s="576"/>
      <c r="C795" s="564"/>
      <c r="D795" s="581"/>
      <c r="E795" s="576"/>
      <c r="F795" s="564"/>
      <c r="G795" s="581"/>
      <c r="H795" s="581"/>
      <c r="I795" s="581"/>
      <c r="J795" s="567"/>
      <c r="K795" s="568"/>
    </row>
    <row r="796" spans="1:11" x14ac:dyDescent="0.25">
      <c r="A796" s="687" t="s">
        <v>399</v>
      </c>
      <c r="B796" s="628" t="s">
        <v>398</v>
      </c>
      <c r="C796" s="630">
        <v>2017</v>
      </c>
      <c r="D796" s="629" t="s">
        <v>1236</v>
      </c>
      <c r="E796" s="629">
        <v>2018</v>
      </c>
      <c r="F796" s="630" t="s">
        <v>1236</v>
      </c>
      <c r="G796" s="631" t="s">
        <v>4</v>
      </c>
      <c r="H796" s="631">
        <v>2019</v>
      </c>
      <c r="I796" s="627" t="s">
        <v>341</v>
      </c>
      <c r="J796" s="567"/>
      <c r="K796" s="568"/>
    </row>
    <row r="797" spans="1:11" x14ac:dyDescent="0.25">
      <c r="A797" s="560"/>
      <c r="B797" s="561"/>
      <c r="C797" s="630" t="s">
        <v>6</v>
      </c>
      <c r="D797" s="634">
        <v>43069</v>
      </c>
      <c r="E797" s="629" t="s">
        <v>6</v>
      </c>
      <c r="F797" s="634">
        <v>43131</v>
      </c>
      <c r="G797" s="635" t="s">
        <v>1131</v>
      </c>
      <c r="H797" s="635" t="s">
        <v>6</v>
      </c>
      <c r="I797" s="627" t="s">
        <v>92</v>
      </c>
      <c r="J797" s="567"/>
      <c r="K797" s="568"/>
    </row>
    <row r="798" spans="1:11" x14ac:dyDescent="0.25">
      <c r="A798" s="590"/>
      <c r="B798" s="576" t="s">
        <v>93</v>
      </c>
      <c r="C798" s="578"/>
      <c r="D798" s="593"/>
      <c r="E798" s="593"/>
      <c r="F798" s="564"/>
      <c r="G798" s="581"/>
      <c r="H798" s="581"/>
      <c r="I798" s="581"/>
      <c r="J798" s="567"/>
      <c r="K798" s="568"/>
    </row>
    <row r="799" spans="1:11" x14ac:dyDescent="0.25">
      <c r="A799" s="590">
        <v>52340</v>
      </c>
      <c r="B799" s="576" t="s">
        <v>400</v>
      </c>
      <c r="C799" s="562">
        <v>800</v>
      </c>
      <c r="D799" s="581">
        <v>0</v>
      </c>
      <c r="E799" s="901">
        <v>300</v>
      </c>
      <c r="F799" s="581"/>
      <c r="G799" s="581">
        <v>300</v>
      </c>
      <c r="H799" s="581"/>
      <c r="I799" s="639">
        <f t="shared" ref="I799:I806" si="84">F799/C799</f>
        <v>0</v>
      </c>
      <c r="J799" s="567"/>
      <c r="K799" s="568"/>
    </row>
    <row r="800" spans="1:11" x14ac:dyDescent="0.25">
      <c r="A800" s="590">
        <v>53341</v>
      </c>
      <c r="B800" s="576" t="s">
        <v>401</v>
      </c>
      <c r="C800" s="562">
        <v>2000</v>
      </c>
      <c r="D800" s="581">
        <v>0</v>
      </c>
      <c r="E800" s="901">
        <v>2000</v>
      </c>
      <c r="F800" s="581"/>
      <c r="G800" s="581">
        <v>2000</v>
      </c>
      <c r="H800" s="581"/>
      <c r="I800" s="639">
        <f t="shared" si="84"/>
        <v>0</v>
      </c>
      <c r="J800" s="567"/>
      <c r="K800" s="568"/>
    </row>
    <row r="801" spans="1:11" x14ac:dyDescent="0.25">
      <c r="A801" s="590">
        <v>53342</v>
      </c>
      <c r="B801" s="576" t="s">
        <v>402</v>
      </c>
      <c r="C801" s="562">
        <v>2500</v>
      </c>
      <c r="D801" s="581">
        <v>2652.87</v>
      </c>
      <c r="E801" s="901">
        <v>2500</v>
      </c>
      <c r="F801" s="581"/>
      <c r="G801" s="581">
        <v>2500</v>
      </c>
      <c r="H801" s="581"/>
      <c r="I801" s="639">
        <f t="shared" si="84"/>
        <v>0</v>
      </c>
      <c r="J801" s="567"/>
      <c r="K801" s="568"/>
    </row>
    <row r="802" spans="1:11" x14ac:dyDescent="0.25">
      <c r="A802" s="590">
        <v>53345</v>
      </c>
      <c r="B802" s="576" t="s">
        <v>403</v>
      </c>
      <c r="C802" s="562">
        <v>5000</v>
      </c>
      <c r="D802" s="581">
        <v>9757.93</v>
      </c>
      <c r="E802" s="901">
        <v>10000</v>
      </c>
      <c r="F802" s="581"/>
      <c r="G802" s="581">
        <v>10000</v>
      </c>
      <c r="H802" s="581"/>
      <c r="I802" s="639">
        <f t="shared" si="84"/>
        <v>0</v>
      </c>
      <c r="J802" s="567"/>
      <c r="K802" s="568"/>
    </row>
    <row r="803" spans="1:11" x14ac:dyDescent="0.25">
      <c r="A803" s="590">
        <v>53348</v>
      </c>
      <c r="B803" s="576" t="s">
        <v>404</v>
      </c>
      <c r="C803" s="562"/>
      <c r="D803" s="581">
        <v>21528</v>
      </c>
      <c r="E803" s="901">
        <v>22000</v>
      </c>
      <c r="F803" s="581"/>
      <c r="G803" s="581">
        <v>22000</v>
      </c>
      <c r="H803" s="581"/>
      <c r="I803" s="639" t="e">
        <f t="shared" si="84"/>
        <v>#DIV/0!</v>
      </c>
      <c r="J803" s="567"/>
      <c r="K803" s="568"/>
    </row>
    <row r="804" spans="1:11" x14ac:dyDescent="0.25">
      <c r="A804" s="590">
        <v>53349</v>
      </c>
      <c r="B804" s="576" t="s">
        <v>405</v>
      </c>
      <c r="C804" s="562">
        <v>35000</v>
      </c>
      <c r="D804" s="581">
        <v>42884.44</v>
      </c>
      <c r="E804" s="901">
        <v>40000</v>
      </c>
      <c r="F804" s="581"/>
      <c r="G804" s="581">
        <v>40000</v>
      </c>
      <c r="H804" s="581"/>
      <c r="I804" s="639">
        <f t="shared" si="84"/>
        <v>0</v>
      </c>
      <c r="J804" s="567"/>
      <c r="K804" s="568"/>
    </row>
    <row r="805" spans="1:11" x14ac:dyDescent="0.25">
      <c r="A805" s="590">
        <v>53550</v>
      </c>
      <c r="B805" s="576" t="s">
        <v>287</v>
      </c>
      <c r="C805" s="562">
        <v>1000</v>
      </c>
      <c r="D805" s="581">
        <v>0</v>
      </c>
      <c r="E805" s="901">
        <v>300</v>
      </c>
      <c r="F805" s="581"/>
      <c r="G805" s="581">
        <v>300</v>
      </c>
      <c r="H805" s="581"/>
      <c r="I805" s="639">
        <f t="shared" si="84"/>
        <v>0</v>
      </c>
      <c r="J805" s="567"/>
      <c r="K805" s="568"/>
    </row>
    <row r="806" spans="1:11" x14ac:dyDescent="0.25">
      <c r="A806" s="560"/>
      <c r="B806" s="561" t="s">
        <v>116</v>
      </c>
      <c r="C806" s="563">
        <f>SUM(C799:C805)</f>
        <v>46300</v>
      </c>
      <c r="D806" s="563">
        <f t="shared" ref="D806:H806" si="85">SUM(D799:D805)</f>
        <v>76823.240000000005</v>
      </c>
      <c r="E806" s="954">
        <f>SUM(E799:E805)</f>
        <v>77100</v>
      </c>
      <c r="F806" s="563">
        <f t="shared" si="85"/>
        <v>0</v>
      </c>
      <c r="G806" s="563">
        <f>SUM(G799:G805)</f>
        <v>77100</v>
      </c>
      <c r="H806" s="563">
        <f t="shared" si="85"/>
        <v>0</v>
      </c>
      <c r="I806" s="639">
        <f t="shared" si="84"/>
        <v>0</v>
      </c>
      <c r="J806" s="567"/>
      <c r="K806" s="568"/>
    </row>
    <row r="807" spans="1:11" s="569" customFormat="1" x14ac:dyDescent="0.25">
      <c r="A807" s="590"/>
      <c r="B807" s="576"/>
      <c r="C807" s="564"/>
      <c r="D807" s="581"/>
      <c r="E807" s="581"/>
      <c r="F807" s="564"/>
      <c r="G807" s="581"/>
      <c r="H807" s="581"/>
      <c r="I807" s="581"/>
      <c r="J807" s="567"/>
      <c r="K807" s="568"/>
    </row>
    <row r="808" spans="1:11" x14ac:dyDescent="0.25">
      <c r="A808" s="687" t="s">
        <v>407</v>
      </c>
      <c r="B808" s="628" t="s">
        <v>406</v>
      </c>
      <c r="C808" s="630">
        <v>2017</v>
      </c>
      <c r="D808" s="629" t="s">
        <v>1236</v>
      </c>
      <c r="E808" s="629">
        <v>2018</v>
      </c>
      <c r="F808" s="630" t="s">
        <v>1236</v>
      </c>
      <c r="G808" s="631" t="s">
        <v>4</v>
      </c>
      <c r="H808" s="631">
        <v>2019</v>
      </c>
      <c r="I808" s="627" t="s">
        <v>341</v>
      </c>
      <c r="J808" s="567"/>
      <c r="K808" s="568"/>
    </row>
    <row r="809" spans="1:11" x14ac:dyDescent="0.25">
      <c r="A809" s="560"/>
      <c r="B809" s="561"/>
      <c r="C809" s="630" t="s">
        <v>6</v>
      </c>
      <c r="D809" s="634">
        <v>43069</v>
      </c>
      <c r="E809" s="629" t="s">
        <v>6</v>
      </c>
      <c r="F809" s="634">
        <v>43131</v>
      </c>
      <c r="G809" s="635" t="s">
        <v>1131</v>
      </c>
      <c r="H809" s="635" t="s">
        <v>6</v>
      </c>
      <c r="I809" s="627" t="s">
        <v>92</v>
      </c>
      <c r="J809" s="567"/>
      <c r="K809" s="568"/>
    </row>
    <row r="810" spans="1:11" x14ac:dyDescent="0.25">
      <c r="A810" s="590"/>
      <c r="B810" s="576" t="s">
        <v>93</v>
      </c>
      <c r="C810" s="578"/>
      <c r="D810" s="593"/>
      <c r="E810" s="593"/>
      <c r="F810" s="564"/>
      <c r="G810" s="581"/>
      <c r="H810" s="581"/>
      <c r="I810" s="581"/>
      <c r="J810" s="567"/>
      <c r="K810" s="568"/>
    </row>
    <row r="811" spans="1:11" x14ac:dyDescent="0.25">
      <c r="A811" s="590">
        <v>40100</v>
      </c>
      <c r="B811" s="576" t="s">
        <v>408</v>
      </c>
      <c r="C811" s="562">
        <v>72100</v>
      </c>
      <c r="D811" s="562">
        <f>51095.72+5267.6</f>
        <v>56363.32</v>
      </c>
      <c r="E811" s="901">
        <v>67160</v>
      </c>
      <c r="F811" s="581"/>
      <c r="G811" s="581">
        <v>67160</v>
      </c>
      <c r="H811" s="581"/>
      <c r="I811" s="639">
        <f t="shared" ref="I811:I838" si="86">F811/C811</f>
        <v>0</v>
      </c>
      <c r="J811" s="567"/>
      <c r="K811" s="568"/>
    </row>
    <row r="812" spans="1:11" x14ac:dyDescent="0.25">
      <c r="A812" s="590">
        <v>40110</v>
      </c>
      <c r="B812" s="576" t="s">
        <v>283</v>
      </c>
      <c r="C812" s="562">
        <v>284</v>
      </c>
      <c r="D812" s="581">
        <v>495.18</v>
      </c>
      <c r="E812" s="901">
        <v>0</v>
      </c>
      <c r="F812" s="581"/>
      <c r="G812" s="581">
        <v>0</v>
      </c>
      <c r="H812" s="581"/>
      <c r="I812" s="639">
        <f t="shared" si="86"/>
        <v>0</v>
      </c>
      <c r="J812" s="567"/>
      <c r="K812" s="568"/>
    </row>
    <row r="813" spans="1:11" x14ac:dyDescent="0.25">
      <c r="A813" s="590">
        <v>41410</v>
      </c>
      <c r="B813" s="576" t="s">
        <v>1246</v>
      </c>
      <c r="C813" s="562">
        <v>1531</v>
      </c>
      <c r="D813" s="581">
        <v>157.05000000000001</v>
      </c>
      <c r="E813" s="901">
        <v>202</v>
      </c>
      <c r="F813" s="581"/>
      <c r="G813" s="581">
        <v>202</v>
      </c>
      <c r="H813" s="581"/>
      <c r="I813" s="639">
        <f t="shared" si="86"/>
        <v>0</v>
      </c>
      <c r="J813" s="567"/>
      <c r="K813" s="568"/>
    </row>
    <row r="814" spans="1:11" x14ac:dyDescent="0.25">
      <c r="A814" s="590">
        <v>41420</v>
      </c>
      <c r="B814" s="576" t="s">
        <v>382</v>
      </c>
      <c r="C814" s="562">
        <v>3016</v>
      </c>
      <c r="D814" s="581">
        <v>3129.4</v>
      </c>
      <c r="E814" s="901">
        <v>3200</v>
      </c>
      <c r="F814" s="581"/>
      <c r="G814" s="581">
        <v>3200</v>
      </c>
      <c r="H814" s="581"/>
      <c r="I814" s="639">
        <f t="shared" si="86"/>
        <v>0</v>
      </c>
      <c r="J814" s="567"/>
      <c r="K814" s="568"/>
    </row>
    <row r="815" spans="1:11" x14ac:dyDescent="0.25">
      <c r="A815" s="590">
        <v>41430</v>
      </c>
      <c r="B815" s="576" t="s">
        <v>98</v>
      </c>
      <c r="C815" s="562">
        <v>15000</v>
      </c>
      <c r="D815" s="581">
        <v>5798.24</v>
      </c>
      <c r="E815" s="901">
        <v>6225</v>
      </c>
      <c r="F815" s="581"/>
      <c r="G815" s="581">
        <v>6225</v>
      </c>
      <c r="H815" s="581"/>
      <c r="I815" s="639">
        <f t="shared" si="86"/>
        <v>0</v>
      </c>
      <c r="J815" s="567"/>
      <c r="K815" s="568"/>
    </row>
    <row r="816" spans="1:11" x14ac:dyDescent="0.25">
      <c r="A816" s="590">
        <v>41440</v>
      </c>
      <c r="B816" s="576" t="s">
        <v>100</v>
      </c>
      <c r="C816" s="562">
        <v>4488</v>
      </c>
      <c r="D816" s="581">
        <v>3296.53</v>
      </c>
      <c r="E816" s="901">
        <v>4165</v>
      </c>
      <c r="F816" s="581"/>
      <c r="G816" s="581">
        <v>4165</v>
      </c>
      <c r="H816" s="581"/>
      <c r="I816" s="639">
        <f t="shared" si="86"/>
        <v>0</v>
      </c>
      <c r="J816" s="567"/>
      <c r="K816" s="568"/>
    </row>
    <row r="817" spans="1:11" x14ac:dyDescent="0.25">
      <c r="A817" s="590">
        <v>41450</v>
      </c>
      <c r="B817" s="576" t="s">
        <v>101</v>
      </c>
      <c r="C817" s="562">
        <v>1050</v>
      </c>
      <c r="D817" s="581">
        <v>770.97</v>
      </c>
      <c r="E817" s="901">
        <v>975</v>
      </c>
      <c r="F817" s="581"/>
      <c r="G817" s="581">
        <v>975</v>
      </c>
      <c r="H817" s="581"/>
      <c r="I817" s="639">
        <f t="shared" si="86"/>
        <v>0</v>
      </c>
      <c r="J817" s="567"/>
      <c r="K817" s="568"/>
    </row>
    <row r="818" spans="1:11" x14ac:dyDescent="0.25">
      <c r="A818" s="590">
        <v>41470</v>
      </c>
      <c r="B818" s="576" t="s">
        <v>102</v>
      </c>
      <c r="C818" s="562">
        <v>29</v>
      </c>
      <c r="D818" s="581">
        <v>25.83</v>
      </c>
      <c r="E818" s="901">
        <v>29</v>
      </c>
      <c r="F818" s="581"/>
      <c r="G818" s="581">
        <v>29</v>
      </c>
      <c r="H818" s="581"/>
      <c r="I818" s="639">
        <f t="shared" si="86"/>
        <v>0</v>
      </c>
      <c r="J818" s="567"/>
      <c r="K818" s="568"/>
    </row>
    <row r="819" spans="1:11" x14ac:dyDescent="0.25">
      <c r="A819" s="590">
        <v>54110</v>
      </c>
      <c r="B819" s="576" t="s">
        <v>103</v>
      </c>
      <c r="C819" s="562">
        <v>1000</v>
      </c>
      <c r="D819" s="581">
        <v>652.96</v>
      </c>
      <c r="E819" s="901">
        <v>800</v>
      </c>
      <c r="F819" s="581"/>
      <c r="G819" s="581">
        <v>800</v>
      </c>
      <c r="H819" s="581"/>
      <c r="I819" s="639">
        <f t="shared" si="86"/>
        <v>0</v>
      </c>
      <c r="J819" s="567"/>
      <c r="K819" s="568"/>
    </row>
    <row r="820" spans="1:11" x14ac:dyDescent="0.25">
      <c r="A820" s="590">
        <v>54120</v>
      </c>
      <c r="B820" s="576" t="s">
        <v>409</v>
      </c>
      <c r="C820" s="562">
        <v>400</v>
      </c>
      <c r="D820" s="581">
        <v>166.17</v>
      </c>
      <c r="E820" s="901">
        <v>400</v>
      </c>
      <c r="F820" s="581"/>
      <c r="G820" s="581">
        <v>400</v>
      </c>
      <c r="H820" s="581"/>
      <c r="I820" s="639">
        <f t="shared" si="86"/>
        <v>0</v>
      </c>
      <c r="J820" s="567"/>
      <c r="K820" s="568"/>
    </row>
    <row r="821" spans="1:11" x14ac:dyDescent="0.25">
      <c r="A821" s="590">
        <v>54212</v>
      </c>
      <c r="B821" s="576" t="s">
        <v>289</v>
      </c>
      <c r="C821" s="562">
        <v>400</v>
      </c>
      <c r="D821" s="581">
        <v>397.69</v>
      </c>
      <c r="E821" s="901">
        <v>200</v>
      </c>
      <c r="F821" s="581"/>
      <c r="G821" s="581">
        <v>200</v>
      </c>
      <c r="H821" s="581"/>
      <c r="I821" s="639">
        <f t="shared" si="86"/>
        <v>0</v>
      </c>
      <c r="J821" s="567"/>
      <c r="K821" s="568"/>
    </row>
    <row r="822" spans="1:11" x14ac:dyDescent="0.25">
      <c r="A822" s="590">
        <v>60000</v>
      </c>
      <c r="B822" s="576" t="s">
        <v>410</v>
      </c>
      <c r="C822" s="562">
        <v>3900</v>
      </c>
      <c r="D822" s="581">
        <v>1063.9000000000001</v>
      </c>
      <c r="E822" s="901">
        <v>2000</v>
      </c>
      <c r="F822" s="581"/>
      <c r="G822" s="581">
        <v>2000</v>
      </c>
      <c r="H822" s="581"/>
      <c r="I822" s="639">
        <f t="shared" si="86"/>
        <v>0</v>
      </c>
      <c r="J822" s="567"/>
      <c r="K822" s="568"/>
    </row>
    <row r="823" spans="1:11" x14ac:dyDescent="0.25">
      <c r="A823" s="590">
        <v>61200</v>
      </c>
      <c r="B823" s="576" t="s">
        <v>107</v>
      </c>
      <c r="C823" s="562">
        <v>400</v>
      </c>
      <c r="D823" s="581">
        <v>253.48</v>
      </c>
      <c r="E823" s="901">
        <v>400</v>
      </c>
      <c r="F823" s="581"/>
      <c r="G823" s="581">
        <v>400</v>
      </c>
      <c r="H823" s="581"/>
      <c r="I823" s="639">
        <f t="shared" si="86"/>
        <v>0</v>
      </c>
      <c r="J823" s="567"/>
      <c r="K823" s="568"/>
    </row>
    <row r="824" spans="1:11" x14ac:dyDescent="0.25">
      <c r="A824" s="590">
        <v>62310</v>
      </c>
      <c r="B824" s="576" t="s">
        <v>108</v>
      </c>
      <c r="C824" s="562">
        <v>150</v>
      </c>
      <c r="D824" s="581">
        <v>136.25</v>
      </c>
      <c r="E824" s="901">
        <v>150</v>
      </c>
      <c r="F824" s="581"/>
      <c r="G824" s="581">
        <v>150</v>
      </c>
      <c r="H824" s="581"/>
      <c r="I824" s="639">
        <f t="shared" si="86"/>
        <v>0</v>
      </c>
      <c r="J824" s="567"/>
      <c r="K824" s="568"/>
    </row>
    <row r="825" spans="1:11" x14ac:dyDescent="0.25">
      <c r="A825" s="590">
        <v>62500</v>
      </c>
      <c r="B825" s="576" t="s">
        <v>109</v>
      </c>
      <c r="C825" s="562">
        <v>800</v>
      </c>
      <c r="D825" s="581">
        <v>90.16</v>
      </c>
      <c r="E825" s="901">
        <v>1900</v>
      </c>
      <c r="F825" s="581"/>
      <c r="G825" s="581">
        <v>1900</v>
      </c>
      <c r="H825" s="581"/>
      <c r="I825" s="639">
        <f t="shared" si="86"/>
        <v>0</v>
      </c>
      <c r="J825" s="567"/>
      <c r="K825" s="568"/>
    </row>
    <row r="826" spans="1:11" x14ac:dyDescent="0.25">
      <c r="A826" s="590">
        <v>62510</v>
      </c>
      <c r="B826" s="576" t="s">
        <v>110</v>
      </c>
      <c r="C826" s="562">
        <v>800</v>
      </c>
      <c r="D826" s="581">
        <v>405.92</v>
      </c>
      <c r="E826" s="901">
        <v>800</v>
      </c>
      <c r="F826" s="581"/>
      <c r="G826" s="581">
        <v>800</v>
      </c>
      <c r="H826" s="581"/>
      <c r="I826" s="639">
        <f t="shared" si="86"/>
        <v>0</v>
      </c>
      <c r="J826" s="567"/>
      <c r="K826" s="568"/>
    </row>
    <row r="827" spans="1:11" x14ac:dyDescent="0.25">
      <c r="A827" s="590">
        <v>62530</v>
      </c>
      <c r="B827" s="576" t="s">
        <v>171</v>
      </c>
      <c r="C827" s="562">
        <v>800</v>
      </c>
      <c r="D827" s="581">
        <v>0</v>
      </c>
      <c r="E827" s="901">
        <v>800</v>
      </c>
      <c r="F827" s="581"/>
      <c r="G827" s="581">
        <v>800</v>
      </c>
      <c r="H827" s="581"/>
      <c r="I827" s="639">
        <f t="shared" si="86"/>
        <v>0</v>
      </c>
      <c r="J827" s="567"/>
      <c r="K827" s="568"/>
    </row>
    <row r="828" spans="1:11" x14ac:dyDescent="0.25">
      <c r="A828" s="590">
        <v>62550</v>
      </c>
      <c r="B828" s="576" t="s">
        <v>184</v>
      </c>
      <c r="C828" s="562">
        <v>400</v>
      </c>
      <c r="D828" s="581">
        <v>0</v>
      </c>
      <c r="E828" s="901">
        <v>400</v>
      </c>
      <c r="F828" s="581"/>
      <c r="G828" s="581">
        <v>400</v>
      </c>
      <c r="H828" s="581"/>
      <c r="I828" s="639">
        <f t="shared" si="86"/>
        <v>0</v>
      </c>
      <c r="J828" s="567"/>
      <c r="K828" s="568"/>
    </row>
    <row r="829" spans="1:11" x14ac:dyDescent="0.25">
      <c r="A829" s="590">
        <v>63100</v>
      </c>
      <c r="B829" s="576" t="s">
        <v>389</v>
      </c>
      <c r="C829" s="562">
        <v>1200</v>
      </c>
      <c r="D829" s="581">
        <v>3100</v>
      </c>
      <c r="E829" s="901">
        <v>500</v>
      </c>
      <c r="F829" s="581"/>
      <c r="G829" s="581">
        <v>500</v>
      </c>
      <c r="H829" s="581"/>
      <c r="I829" s="639">
        <f t="shared" si="86"/>
        <v>0</v>
      </c>
      <c r="J829" s="567"/>
      <c r="K829" s="568"/>
    </row>
    <row r="830" spans="1:11" x14ac:dyDescent="0.25">
      <c r="A830" s="590">
        <v>63250</v>
      </c>
      <c r="B830" s="576" t="s">
        <v>411</v>
      </c>
      <c r="C830" s="562">
        <v>800</v>
      </c>
      <c r="D830" s="581">
        <v>350</v>
      </c>
      <c r="E830" s="901">
        <v>800</v>
      </c>
      <c r="F830" s="581"/>
      <c r="G830" s="581">
        <v>800</v>
      </c>
      <c r="H830" s="581"/>
      <c r="I830" s="639">
        <f t="shared" si="86"/>
        <v>0</v>
      </c>
      <c r="J830" s="567"/>
      <c r="K830" s="568"/>
    </row>
    <row r="831" spans="1:11" x14ac:dyDescent="0.25">
      <c r="A831" s="590">
        <v>63800</v>
      </c>
      <c r="B831" s="576" t="s">
        <v>1247</v>
      </c>
      <c r="C831" s="562">
        <v>800</v>
      </c>
      <c r="D831" s="581">
        <v>1090.5</v>
      </c>
      <c r="E831" s="901">
        <v>1500</v>
      </c>
      <c r="F831" s="581"/>
      <c r="G831" s="581">
        <v>1500</v>
      </c>
      <c r="H831" s="581"/>
      <c r="I831" s="639">
        <f t="shared" si="86"/>
        <v>0</v>
      </c>
      <c r="J831" s="567"/>
      <c r="K831" s="568"/>
    </row>
    <row r="832" spans="1:11" x14ac:dyDescent="0.25">
      <c r="A832" s="590">
        <v>64500</v>
      </c>
      <c r="B832" s="576" t="s">
        <v>147</v>
      </c>
      <c r="C832" s="562">
        <v>700</v>
      </c>
      <c r="D832" s="581">
        <v>0</v>
      </c>
      <c r="E832" s="901">
        <v>0</v>
      </c>
      <c r="F832" s="581"/>
      <c r="G832" s="581">
        <v>0</v>
      </c>
      <c r="H832" s="581"/>
      <c r="I832" s="639">
        <f t="shared" si="86"/>
        <v>0</v>
      </c>
      <c r="J832" s="567"/>
      <c r="K832" s="568"/>
    </row>
    <row r="833" spans="1:11" x14ac:dyDescent="0.25">
      <c r="A833" s="590">
        <v>65500</v>
      </c>
      <c r="B833" s="576" t="s">
        <v>113</v>
      </c>
      <c r="C833" s="562">
        <v>3500</v>
      </c>
      <c r="D833" s="581">
        <v>4121.5200000000004</v>
      </c>
      <c r="E833" s="901">
        <v>4000</v>
      </c>
      <c r="F833" s="581"/>
      <c r="G833" s="581">
        <v>4000</v>
      </c>
      <c r="H833" s="581"/>
      <c r="I833" s="639">
        <f t="shared" si="86"/>
        <v>0</v>
      </c>
      <c r="J833" s="567"/>
      <c r="K833" s="568"/>
    </row>
    <row r="834" spans="1:11" x14ac:dyDescent="0.25">
      <c r="A834" s="590">
        <v>68000</v>
      </c>
      <c r="B834" s="576" t="s">
        <v>165</v>
      </c>
      <c r="C834" s="562">
        <v>200</v>
      </c>
      <c r="D834" s="581">
        <v>609.03</v>
      </c>
      <c r="E834" s="901">
        <v>500</v>
      </c>
      <c r="F834" s="581"/>
      <c r="G834" s="581">
        <v>500</v>
      </c>
      <c r="H834" s="581"/>
      <c r="I834" s="639">
        <f t="shared" si="86"/>
        <v>0</v>
      </c>
      <c r="J834" s="567"/>
      <c r="K834" s="568"/>
    </row>
    <row r="835" spans="1:11" x14ac:dyDescent="0.25">
      <c r="A835" s="590">
        <v>68010</v>
      </c>
      <c r="B835" s="576" t="s">
        <v>1263</v>
      </c>
      <c r="C835" s="562">
        <v>5445</v>
      </c>
      <c r="D835" s="581">
        <v>55</v>
      </c>
      <c r="E835" s="901">
        <v>200</v>
      </c>
      <c r="F835" s="581"/>
      <c r="G835" s="581">
        <v>200</v>
      </c>
      <c r="H835" s="581"/>
      <c r="I835" s="639">
        <f t="shared" si="86"/>
        <v>0</v>
      </c>
      <c r="J835" s="567"/>
      <c r="K835" s="568"/>
    </row>
    <row r="836" spans="1:11" x14ac:dyDescent="0.25">
      <c r="A836" s="590">
        <v>69200</v>
      </c>
      <c r="B836" s="576" t="s">
        <v>412</v>
      </c>
      <c r="C836" s="562">
        <v>400</v>
      </c>
      <c r="D836" s="581">
        <v>198</v>
      </c>
      <c r="E836" s="901">
        <v>300</v>
      </c>
      <c r="F836" s="581"/>
      <c r="G836" s="581">
        <v>300</v>
      </c>
      <c r="H836" s="581"/>
      <c r="I836" s="639">
        <f t="shared" si="86"/>
        <v>0</v>
      </c>
      <c r="J836" s="567"/>
      <c r="K836" s="568"/>
    </row>
    <row r="837" spans="1:11" x14ac:dyDescent="0.25">
      <c r="A837" s="590">
        <v>69999</v>
      </c>
      <c r="B837" s="576" t="s">
        <v>413</v>
      </c>
      <c r="C837" s="562">
        <v>50</v>
      </c>
      <c r="D837" s="581">
        <v>36</v>
      </c>
      <c r="E837" s="901">
        <v>50</v>
      </c>
      <c r="F837" s="581"/>
      <c r="G837" s="581">
        <v>50</v>
      </c>
      <c r="H837" s="581"/>
      <c r="I837" s="639">
        <f t="shared" si="86"/>
        <v>0</v>
      </c>
      <c r="J837" s="567"/>
      <c r="K837" s="568"/>
    </row>
    <row r="838" spans="1:11" x14ac:dyDescent="0.25">
      <c r="A838" s="560"/>
      <c r="B838" s="561" t="s">
        <v>116</v>
      </c>
      <c r="C838" s="566">
        <f t="shared" ref="C838:H838" si="87">SUM(C811:C837)</f>
        <v>119643</v>
      </c>
      <c r="D838" s="566">
        <f t="shared" si="87"/>
        <v>82763.100000000006</v>
      </c>
      <c r="E838" s="956">
        <f t="shared" si="87"/>
        <v>97656</v>
      </c>
      <c r="F838" s="566">
        <f t="shared" si="87"/>
        <v>0</v>
      </c>
      <c r="G838" s="566">
        <f t="shared" si="87"/>
        <v>97656</v>
      </c>
      <c r="H838" s="566">
        <f t="shared" si="87"/>
        <v>0</v>
      </c>
      <c r="I838" s="639">
        <f t="shared" si="86"/>
        <v>0</v>
      </c>
      <c r="J838" s="567"/>
      <c r="K838" s="568"/>
    </row>
    <row r="839" spans="1:11" s="569" customFormat="1" x14ac:dyDescent="0.25">
      <c r="A839" s="560"/>
      <c r="B839" s="561"/>
      <c r="C839" s="564"/>
      <c r="D839" s="576"/>
      <c r="E839" s="576"/>
      <c r="F839" s="564"/>
      <c r="G839" s="581"/>
      <c r="H839" s="581"/>
      <c r="I839" s="581"/>
      <c r="J839" s="567"/>
      <c r="K839" s="568"/>
    </row>
    <row r="840" spans="1:11" x14ac:dyDescent="0.25">
      <c r="A840" s="687" t="s">
        <v>414</v>
      </c>
      <c r="B840" s="628" t="s">
        <v>415</v>
      </c>
      <c r="C840" s="630">
        <v>2017</v>
      </c>
      <c r="D840" s="629" t="s">
        <v>1236</v>
      </c>
      <c r="E840" s="629">
        <v>2018</v>
      </c>
      <c r="F840" s="630" t="s">
        <v>1236</v>
      </c>
      <c r="G840" s="631" t="s">
        <v>4</v>
      </c>
      <c r="H840" s="631">
        <v>2019</v>
      </c>
      <c r="I840" s="627" t="s">
        <v>341</v>
      </c>
      <c r="J840" s="567"/>
      <c r="K840" s="568"/>
    </row>
    <row r="841" spans="1:11" x14ac:dyDescent="0.25">
      <c r="A841" s="590"/>
      <c r="B841" s="561"/>
      <c r="C841" s="630" t="s">
        <v>6</v>
      </c>
      <c r="D841" s="634">
        <v>43069</v>
      </c>
      <c r="E841" s="629" t="s">
        <v>6</v>
      </c>
      <c r="F841" s="634">
        <v>43131</v>
      </c>
      <c r="G841" s="635" t="s">
        <v>1131</v>
      </c>
      <c r="H841" s="635" t="s">
        <v>6</v>
      </c>
      <c r="I841" s="627" t="s">
        <v>92</v>
      </c>
      <c r="J841" s="567"/>
      <c r="K841" s="568"/>
    </row>
    <row r="842" spans="1:11" x14ac:dyDescent="0.25">
      <c r="A842" s="590"/>
      <c r="B842" s="576" t="s">
        <v>93</v>
      </c>
      <c r="C842" s="578"/>
      <c r="D842" s="577"/>
      <c r="E842" s="577"/>
      <c r="F842" s="564"/>
      <c r="G842" s="581"/>
      <c r="H842" s="581"/>
      <c r="I842" s="581"/>
      <c r="J842" s="567"/>
      <c r="K842" s="568"/>
    </row>
    <row r="843" spans="1:11" x14ac:dyDescent="0.25">
      <c r="A843" s="575">
        <v>40110</v>
      </c>
      <c r="B843" s="576" t="s">
        <v>283</v>
      </c>
      <c r="C843" s="562">
        <v>94840</v>
      </c>
      <c r="D843" s="581">
        <f>72147.19+2152.7+294.58</f>
        <v>74594.47</v>
      </c>
      <c r="E843" s="901">
        <v>96790</v>
      </c>
      <c r="F843" s="581"/>
      <c r="G843" s="581">
        <v>96790</v>
      </c>
      <c r="H843" s="581"/>
      <c r="I843" s="639">
        <f t="shared" ref="I843:I859" si="88">F843/C843</f>
        <v>0</v>
      </c>
      <c r="J843" s="567"/>
      <c r="K843" s="568"/>
    </row>
    <row r="844" spans="1:11" x14ac:dyDescent="0.25">
      <c r="A844" s="575">
        <v>40210</v>
      </c>
      <c r="B844" s="576" t="s">
        <v>381</v>
      </c>
      <c r="C844" s="562">
        <v>250</v>
      </c>
      <c r="D844" s="581">
        <v>992.15</v>
      </c>
      <c r="E844" s="901">
        <v>750</v>
      </c>
      <c r="F844" s="581"/>
      <c r="G844" s="581">
        <v>750</v>
      </c>
      <c r="H844" s="581"/>
      <c r="I844" s="639">
        <f t="shared" si="88"/>
        <v>0</v>
      </c>
      <c r="J844" s="655"/>
      <c r="K844" s="568"/>
    </row>
    <row r="845" spans="1:11" x14ac:dyDescent="0.25">
      <c r="A845" s="575">
        <v>41410</v>
      </c>
      <c r="B845" s="576" t="s">
        <v>478</v>
      </c>
      <c r="C845" s="562"/>
      <c r="D845" s="581">
        <v>218.49</v>
      </c>
      <c r="E845" s="901">
        <v>293</v>
      </c>
      <c r="F845" s="581"/>
      <c r="G845" s="581">
        <v>293</v>
      </c>
      <c r="H845" s="581"/>
      <c r="I845" s="639"/>
      <c r="J845" s="655"/>
      <c r="K845" s="568"/>
    </row>
    <row r="846" spans="1:11" x14ac:dyDescent="0.25">
      <c r="A846" s="575">
        <v>41420</v>
      </c>
      <c r="B846" s="576" t="s">
        <v>382</v>
      </c>
      <c r="C846" s="562">
        <v>6186</v>
      </c>
      <c r="D846" s="581">
        <v>6299.4</v>
      </c>
      <c r="E846" s="901">
        <v>4509</v>
      </c>
      <c r="F846" s="581"/>
      <c r="G846" s="581">
        <v>4509</v>
      </c>
      <c r="H846" s="581"/>
      <c r="I846" s="639">
        <f t="shared" si="88"/>
        <v>0</v>
      </c>
      <c r="J846" s="567"/>
      <c r="K846" s="568"/>
    </row>
    <row r="847" spans="1:11" x14ac:dyDescent="0.25">
      <c r="A847" s="575">
        <v>41430</v>
      </c>
      <c r="B847" s="576" t="s">
        <v>98</v>
      </c>
      <c r="C847" s="562">
        <v>14595</v>
      </c>
      <c r="D847" s="581">
        <v>15036.39</v>
      </c>
      <c r="E847" s="901">
        <v>22587</v>
      </c>
      <c r="F847" s="581"/>
      <c r="G847" s="581">
        <v>22587</v>
      </c>
      <c r="H847" s="581"/>
      <c r="I847" s="639">
        <f t="shared" si="88"/>
        <v>0</v>
      </c>
      <c r="J847" s="567"/>
      <c r="K847" s="568"/>
    </row>
    <row r="848" spans="1:11" x14ac:dyDescent="0.25">
      <c r="A848" s="575">
        <v>41436</v>
      </c>
      <c r="B848" s="576" t="s">
        <v>416</v>
      </c>
      <c r="C848" s="562">
        <v>2400</v>
      </c>
      <c r="D848" s="581">
        <v>2600</v>
      </c>
      <c r="E848" s="901">
        <v>7200</v>
      </c>
      <c r="F848" s="581"/>
      <c r="G848" s="581">
        <v>7200</v>
      </c>
      <c r="H848" s="581"/>
      <c r="I848" s="639">
        <f t="shared" si="88"/>
        <v>0</v>
      </c>
      <c r="J848" s="567"/>
      <c r="K848" s="568"/>
    </row>
    <row r="849" spans="1:11" x14ac:dyDescent="0.25">
      <c r="A849" s="575">
        <v>41440</v>
      </c>
      <c r="B849" s="576" t="s">
        <v>100</v>
      </c>
      <c r="C849" s="562">
        <v>5896</v>
      </c>
      <c r="D849" s="581">
        <v>4531.17</v>
      </c>
      <c r="E849" s="901">
        <v>6050</v>
      </c>
      <c r="F849" s="581"/>
      <c r="G849" s="581">
        <v>6050</v>
      </c>
      <c r="H849" s="581"/>
      <c r="I849" s="639">
        <f t="shared" si="88"/>
        <v>0</v>
      </c>
      <c r="J849" s="567"/>
      <c r="K849" s="568"/>
    </row>
    <row r="850" spans="1:11" x14ac:dyDescent="0.25">
      <c r="A850" s="575">
        <v>41450</v>
      </c>
      <c r="B850" s="576" t="s">
        <v>101</v>
      </c>
      <c r="C850" s="562">
        <v>1379</v>
      </c>
      <c r="D850" s="581">
        <v>1059.72</v>
      </c>
      <c r="E850" s="901">
        <v>1415</v>
      </c>
      <c r="F850" s="581"/>
      <c r="G850" s="581">
        <v>1415</v>
      </c>
      <c r="H850" s="581"/>
      <c r="I850" s="639">
        <f t="shared" si="88"/>
        <v>0</v>
      </c>
      <c r="J850" s="567"/>
      <c r="K850" s="568"/>
    </row>
    <row r="851" spans="1:11" x14ac:dyDescent="0.25">
      <c r="A851" s="575">
        <v>41470</v>
      </c>
      <c r="B851" s="576" t="s">
        <v>102</v>
      </c>
      <c r="C851" s="562">
        <v>51</v>
      </c>
      <c r="D851" s="581">
        <v>42.06</v>
      </c>
      <c r="E851" s="901">
        <v>285</v>
      </c>
      <c r="F851" s="581"/>
      <c r="G851" s="581">
        <v>285</v>
      </c>
      <c r="H851" s="581"/>
      <c r="I851" s="639">
        <f t="shared" si="88"/>
        <v>0</v>
      </c>
      <c r="J851" s="567"/>
      <c r="K851" s="568"/>
    </row>
    <row r="852" spans="1:11" x14ac:dyDescent="0.25">
      <c r="A852" s="575">
        <v>53440</v>
      </c>
      <c r="B852" s="576" t="s">
        <v>417</v>
      </c>
      <c r="C852" s="562">
        <v>1400</v>
      </c>
      <c r="D852" s="581">
        <v>1139.06</v>
      </c>
      <c r="E852" s="901">
        <v>1400</v>
      </c>
      <c r="F852" s="581"/>
      <c r="G852" s="581">
        <v>1400</v>
      </c>
      <c r="H852" s="581"/>
      <c r="I852" s="639">
        <f t="shared" si="88"/>
        <v>0</v>
      </c>
      <c r="J852" s="567"/>
      <c r="K852" s="568"/>
    </row>
    <row r="853" spans="1:11" x14ac:dyDescent="0.25">
      <c r="A853" s="575">
        <v>53550</v>
      </c>
      <c r="B853" s="576" t="s">
        <v>287</v>
      </c>
      <c r="C853" s="562">
        <v>3000</v>
      </c>
      <c r="D853" s="581">
        <v>3083.45</v>
      </c>
      <c r="E853" s="901">
        <v>3000</v>
      </c>
      <c r="F853" s="581"/>
      <c r="G853" s="581">
        <v>3000</v>
      </c>
      <c r="H853" s="581"/>
      <c r="I853" s="639">
        <f t="shared" si="88"/>
        <v>0</v>
      </c>
      <c r="J853" s="567"/>
      <c r="K853" s="568"/>
    </row>
    <row r="854" spans="1:11" x14ac:dyDescent="0.25">
      <c r="A854" s="575">
        <v>54212</v>
      </c>
      <c r="B854" s="576" t="s">
        <v>289</v>
      </c>
      <c r="C854" s="562">
        <v>1500</v>
      </c>
      <c r="D854" s="581">
        <v>0</v>
      </c>
      <c r="E854" s="901">
        <v>1500</v>
      </c>
      <c r="F854" s="581"/>
      <c r="G854" s="581">
        <v>1500</v>
      </c>
      <c r="H854" s="581"/>
      <c r="I854" s="639">
        <f t="shared" si="88"/>
        <v>0</v>
      </c>
      <c r="J854" s="567"/>
      <c r="K854" s="568"/>
    </row>
    <row r="855" spans="1:11" x14ac:dyDescent="0.25">
      <c r="A855" s="575">
        <v>64600</v>
      </c>
      <c r="B855" s="576" t="s">
        <v>1191</v>
      </c>
      <c r="C855" s="562">
        <v>4000</v>
      </c>
      <c r="D855" s="581">
        <v>3274.87</v>
      </c>
      <c r="E855" s="901">
        <v>3000</v>
      </c>
      <c r="F855" s="581"/>
      <c r="G855" s="581">
        <v>3000</v>
      </c>
      <c r="H855" s="581"/>
      <c r="I855" s="639">
        <f t="shared" si="88"/>
        <v>0</v>
      </c>
      <c r="J855" s="567"/>
      <c r="K855" s="568"/>
    </row>
    <row r="856" spans="1:11" x14ac:dyDescent="0.25">
      <c r="A856" s="575">
        <v>65200</v>
      </c>
      <c r="B856" s="576" t="s">
        <v>150</v>
      </c>
      <c r="C856" s="562">
        <v>14000</v>
      </c>
      <c r="D856" s="721">
        <v>7808.26</v>
      </c>
      <c r="E856" s="907">
        <v>10000</v>
      </c>
      <c r="F856" s="581"/>
      <c r="G856" s="581">
        <v>10000</v>
      </c>
      <c r="H856" s="581"/>
      <c r="I856" s="639">
        <f t="shared" si="88"/>
        <v>0</v>
      </c>
      <c r="J856" s="567"/>
      <c r="K856" s="568"/>
    </row>
    <row r="857" spans="1:11" x14ac:dyDescent="0.25">
      <c r="A857" s="575">
        <v>65400</v>
      </c>
      <c r="B857" s="576" t="s">
        <v>892</v>
      </c>
      <c r="C857" s="562">
        <v>15000</v>
      </c>
      <c r="D857" s="581">
        <v>3704.72</v>
      </c>
      <c r="E857" s="901">
        <v>5000</v>
      </c>
      <c r="F857" s="581"/>
      <c r="G857" s="581">
        <v>5000</v>
      </c>
      <c r="H857" s="581"/>
      <c r="I857" s="639">
        <f t="shared" si="88"/>
        <v>0</v>
      </c>
      <c r="J857" s="567"/>
      <c r="K857" s="568"/>
    </row>
    <row r="858" spans="1:11" x14ac:dyDescent="0.25">
      <c r="A858" s="575">
        <v>66100</v>
      </c>
      <c r="B858" s="576" t="s">
        <v>155</v>
      </c>
      <c r="C858" s="562">
        <v>14708</v>
      </c>
      <c r="D858" s="581">
        <v>15822.6</v>
      </c>
      <c r="E858" s="901">
        <v>16000</v>
      </c>
      <c r="F858" s="581"/>
      <c r="G858" s="581">
        <v>16000</v>
      </c>
      <c r="H858" s="581"/>
      <c r="I858" s="639">
        <f t="shared" si="88"/>
        <v>0</v>
      </c>
      <c r="J858" s="567"/>
      <c r="K858" s="568"/>
    </row>
    <row r="859" spans="1:11" x14ac:dyDescent="0.25">
      <c r="A859" s="560"/>
      <c r="B859" s="561" t="s">
        <v>116</v>
      </c>
      <c r="C859" s="563">
        <f t="shared" ref="C859:H859" si="89">SUM(C843:C858)</f>
        <v>179205</v>
      </c>
      <c r="D859" s="563">
        <f t="shared" si="89"/>
        <v>140206.80999999997</v>
      </c>
      <c r="E859" s="954">
        <f t="shared" si="89"/>
        <v>179779</v>
      </c>
      <c r="F859" s="563">
        <f t="shared" si="89"/>
        <v>0</v>
      </c>
      <c r="G859" s="563">
        <f t="shared" si="89"/>
        <v>179779</v>
      </c>
      <c r="H859" s="563">
        <f t="shared" si="89"/>
        <v>0</v>
      </c>
      <c r="I859" s="639">
        <f t="shared" si="88"/>
        <v>0</v>
      </c>
      <c r="J859" s="567"/>
      <c r="K859" s="568"/>
    </row>
    <row r="860" spans="1:11" s="569" customFormat="1" x14ac:dyDescent="0.25">
      <c r="A860" s="560"/>
      <c r="B860" s="561"/>
      <c r="C860" s="564"/>
      <c r="D860" s="576"/>
      <c r="E860" s="576"/>
      <c r="F860" s="564"/>
      <c r="G860" s="581"/>
      <c r="H860" s="581"/>
      <c r="I860" s="581"/>
      <c r="J860" s="567"/>
      <c r="K860" s="568"/>
    </row>
    <row r="861" spans="1:11" x14ac:dyDescent="0.25">
      <c r="A861" s="784" t="s">
        <v>1167</v>
      </c>
      <c r="B861" s="628" t="s">
        <v>418</v>
      </c>
      <c r="C861" s="630">
        <v>2017</v>
      </c>
      <c r="D861" s="629" t="s">
        <v>1236</v>
      </c>
      <c r="E861" s="629">
        <v>2018</v>
      </c>
      <c r="F861" s="630" t="s">
        <v>1236</v>
      </c>
      <c r="G861" s="631" t="s">
        <v>4</v>
      </c>
      <c r="H861" s="631">
        <v>2019</v>
      </c>
      <c r="I861" s="627" t="s">
        <v>341</v>
      </c>
      <c r="J861" s="567"/>
      <c r="K861" s="568"/>
    </row>
    <row r="862" spans="1:11" x14ac:dyDescent="0.25">
      <c r="A862" s="623"/>
      <c r="B862" s="561"/>
      <c r="C862" s="630" t="s">
        <v>6</v>
      </c>
      <c r="D862" s="634">
        <v>43069</v>
      </c>
      <c r="E862" s="629" t="s">
        <v>6</v>
      </c>
      <c r="F862" s="634">
        <v>43131</v>
      </c>
      <c r="G862" s="635" t="s">
        <v>1131</v>
      </c>
      <c r="H862" s="635" t="s">
        <v>6</v>
      </c>
      <c r="I862" s="627" t="s">
        <v>92</v>
      </c>
      <c r="J862" s="567"/>
      <c r="K862" s="568"/>
    </row>
    <row r="863" spans="1:11" x14ac:dyDescent="0.25">
      <c r="A863" s="590"/>
      <c r="B863" s="576" t="s">
        <v>93</v>
      </c>
      <c r="C863" s="564"/>
      <c r="D863" s="593"/>
      <c r="E863" s="934"/>
      <c r="F863" s="564"/>
      <c r="G863" s="581"/>
      <c r="H863" s="581"/>
      <c r="I863" s="581"/>
      <c r="J863" s="567"/>
      <c r="K863" s="568"/>
    </row>
    <row r="864" spans="1:11" x14ac:dyDescent="0.25">
      <c r="A864" s="575">
        <v>40110</v>
      </c>
      <c r="B864" s="576" t="s">
        <v>380</v>
      </c>
      <c r="C864" s="562">
        <v>41383</v>
      </c>
      <c r="D864" s="562">
        <f>15874.72+7762.62</f>
        <v>23637.34</v>
      </c>
      <c r="E864" s="901">
        <v>26000</v>
      </c>
      <c r="F864" s="581"/>
      <c r="G864" s="581">
        <v>26000</v>
      </c>
      <c r="H864" s="581"/>
      <c r="I864" s="639">
        <f t="shared" ref="I864:I873" si="90">F864/C864</f>
        <v>0</v>
      </c>
      <c r="J864" s="567"/>
      <c r="K864" s="568"/>
    </row>
    <row r="865" spans="1:11" x14ac:dyDescent="0.25">
      <c r="A865" s="575">
        <v>40210</v>
      </c>
      <c r="B865" s="576" t="s">
        <v>381</v>
      </c>
      <c r="C865" s="562">
        <v>500</v>
      </c>
      <c r="D865" s="581">
        <f>316.2+750.88</f>
        <v>1067.08</v>
      </c>
      <c r="E865" s="901">
        <v>1000</v>
      </c>
      <c r="F865" s="581"/>
      <c r="G865" s="581">
        <v>1000</v>
      </c>
      <c r="H865" s="581"/>
      <c r="I865" s="639">
        <f t="shared" si="90"/>
        <v>0</v>
      </c>
      <c r="J865" s="567"/>
      <c r="K865" s="568"/>
    </row>
    <row r="866" spans="1:11" x14ac:dyDescent="0.25">
      <c r="A866" s="575">
        <v>41410</v>
      </c>
      <c r="B866" s="576" t="s">
        <v>478</v>
      </c>
      <c r="C866" s="562"/>
      <c r="D866" s="581">
        <f>42.63+24.07</f>
        <v>66.7</v>
      </c>
      <c r="E866" s="901">
        <v>81</v>
      </c>
      <c r="F866" s="581"/>
      <c r="G866" s="581">
        <v>81</v>
      </c>
      <c r="H866" s="581"/>
      <c r="I866" s="639"/>
      <c r="J866" s="567"/>
      <c r="K866" s="568"/>
    </row>
    <row r="867" spans="1:11" x14ac:dyDescent="0.25">
      <c r="A867" s="575">
        <v>41420</v>
      </c>
      <c r="B867" s="576" t="s">
        <v>382</v>
      </c>
      <c r="C867" s="562">
        <v>3016</v>
      </c>
      <c r="D867" s="581">
        <v>3129.4</v>
      </c>
      <c r="E867" s="901">
        <v>3078</v>
      </c>
      <c r="F867" s="581"/>
      <c r="G867" s="581">
        <v>3078</v>
      </c>
      <c r="H867" s="581"/>
      <c r="I867" s="639">
        <f t="shared" si="90"/>
        <v>0</v>
      </c>
      <c r="J867" s="567"/>
      <c r="K867" s="568"/>
    </row>
    <row r="868" spans="1:11" x14ac:dyDescent="0.25">
      <c r="A868" s="575">
        <v>41430</v>
      </c>
      <c r="B868" s="576" t="s">
        <v>98</v>
      </c>
      <c r="C868" s="562">
        <v>8371</v>
      </c>
      <c r="D868" s="581">
        <f>845.61+3557.38</f>
        <v>4402.99</v>
      </c>
      <c r="E868" s="901">
        <v>4703</v>
      </c>
      <c r="F868" s="581"/>
      <c r="G868" s="581">
        <v>4703</v>
      </c>
      <c r="H868" s="581"/>
      <c r="I868" s="639">
        <f t="shared" si="90"/>
        <v>0</v>
      </c>
      <c r="J868" s="567"/>
      <c r="K868" s="568"/>
    </row>
    <row r="869" spans="1:11" x14ac:dyDescent="0.25">
      <c r="A869" s="575">
        <v>41440</v>
      </c>
      <c r="B869" s="576" t="s">
        <v>100</v>
      </c>
      <c r="C869" s="562">
        <v>2618</v>
      </c>
      <c r="D869" s="581">
        <f>881.49+497.42</f>
        <v>1378.91</v>
      </c>
      <c r="E869" s="901">
        <v>1674</v>
      </c>
      <c r="F869" s="581"/>
      <c r="G869" s="581">
        <v>1674</v>
      </c>
      <c r="H869" s="581"/>
      <c r="I869" s="639">
        <f t="shared" si="90"/>
        <v>0</v>
      </c>
      <c r="J869" s="567"/>
      <c r="K869" s="568"/>
    </row>
    <row r="870" spans="1:11" x14ac:dyDescent="0.25">
      <c r="A870" s="575">
        <v>41450</v>
      </c>
      <c r="B870" s="576" t="s">
        <v>101</v>
      </c>
      <c r="C870" s="562">
        <v>607</v>
      </c>
      <c r="D870" s="581">
        <f>206.16+116.33</f>
        <v>322.49</v>
      </c>
      <c r="E870" s="901">
        <v>392</v>
      </c>
      <c r="F870" s="581"/>
      <c r="G870" s="581">
        <v>392</v>
      </c>
      <c r="H870" s="581"/>
      <c r="I870" s="639">
        <f t="shared" si="90"/>
        <v>0</v>
      </c>
      <c r="J870" s="567"/>
      <c r="K870" s="568"/>
    </row>
    <row r="871" spans="1:11" x14ac:dyDescent="0.25">
      <c r="A871" s="575">
        <v>41470</v>
      </c>
      <c r="B871" s="576" t="s">
        <v>102</v>
      </c>
      <c r="C871" s="562">
        <v>22</v>
      </c>
      <c r="D871" s="581">
        <f>3.36+9.25</f>
        <v>12.61</v>
      </c>
      <c r="E871" s="901">
        <v>29</v>
      </c>
      <c r="F871" s="581"/>
      <c r="G871" s="581">
        <v>29</v>
      </c>
      <c r="H871" s="581"/>
      <c r="I871" s="639">
        <f t="shared" si="90"/>
        <v>0</v>
      </c>
      <c r="J871" s="567"/>
      <c r="K871" s="568"/>
    </row>
    <row r="872" spans="1:11" x14ac:dyDescent="0.25">
      <c r="A872" s="575">
        <v>63000</v>
      </c>
      <c r="B872" s="576" t="s">
        <v>419</v>
      </c>
      <c r="C872" s="562">
        <v>0</v>
      </c>
      <c r="D872" s="581">
        <v>0</v>
      </c>
      <c r="E872" s="901">
        <v>0</v>
      </c>
      <c r="F872" s="581"/>
      <c r="G872" s="581">
        <v>0</v>
      </c>
      <c r="H872" s="581"/>
      <c r="I872" s="639" t="e">
        <f t="shared" si="90"/>
        <v>#DIV/0!</v>
      </c>
      <c r="J872" s="567"/>
      <c r="K872" s="568"/>
    </row>
    <row r="873" spans="1:11" x14ac:dyDescent="0.25">
      <c r="A873" s="560"/>
      <c r="B873" s="561" t="s">
        <v>116</v>
      </c>
      <c r="C873" s="566">
        <f>SUM(C864:C872)</f>
        <v>56517</v>
      </c>
      <c r="D873" s="566">
        <f t="shared" ref="D873:H873" si="91">SUM(D864:D872)</f>
        <v>34017.520000000004</v>
      </c>
      <c r="E873" s="956">
        <f>SUM(E864:E872)</f>
        <v>36957</v>
      </c>
      <c r="F873" s="566">
        <f t="shared" si="91"/>
        <v>0</v>
      </c>
      <c r="G873" s="566">
        <f>SUM(G864:G872)</f>
        <v>36957</v>
      </c>
      <c r="H873" s="566">
        <f t="shared" si="91"/>
        <v>0</v>
      </c>
      <c r="I873" s="639">
        <f t="shared" si="90"/>
        <v>0</v>
      </c>
      <c r="J873" s="567"/>
      <c r="K873" s="568"/>
    </row>
    <row r="874" spans="1:11" s="569" customFormat="1" x14ac:dyDescent="0.25">
      <c r="A874" s="560"/>
      <c r="B874" s="561"/>
      <c r="C874" s="565"/>
      <c r="D874" s="566"/>
      <c r="E874" s="581"/>
      <c r="F874" s="564"/>
      <c r="G874" s="581"/>
      <c r="H874" s="581"/>
      <c r="I874" s="581"/>
      <c r="J874" s="567"/>
      <c r="K874" s="568"/>
    </row>
    <row r="875" spans="1:11" x14ac:dyDescent="0.25">
      <c r="A875" s="687" t="s">
        <v>420</v>
      </c>
      <c r="B875" s="628" t="s">
        <v>421</v>
      </c>
      <c r="C875" s="630">
        <v>2017</v>
      </c>
      <c r="D875" s="629" t="s">
        <v>1236</v>
      </c>
      <c r="E875" s="629">
        <v>2018</v>
      </c>
      <c r="F875" s="630" t="s">
        <v>1236</v>
      </c>
      <c r="G875" s="631" t="s">
        <v>4</v>
      </c>
      <c r="H875" s="631">
        <v>2019</v>
      </c>
      <c r="I875" s="627" t="s">
        <v>341</v>
      </c>
      <c r="J875" s="567"/>
      <c r="K875" s="568"/>
    </row>
    <row r="876" spans="1:11" x14ac:dyDescent="0.25">
      <c r="A876" s="590"/>
      <c r="B876" s="561"/>
      <c r="C876" s="630" t="s">
        <v>6</v>
      </c>
      <c r="D876" s="634">
        <v>43069</v>
      </c>
      <c r="E876" s="629" t="s">
        <v>6</v>
      </c>
      <c r="F876" s="634">
        <v>43131</v>
      </c>
      <c r="G876" s="635" t="s">
        <v>1131</v>
      </c>
      <c r="H876" s="635" t="s">
        <v>6</v>
      </c>
      <c r="I876" s="627" t="s">
        <v>92</v>
      </c>
      <c r="J876" s="567"/>
      <c r="K876" s="568"/>
    </row>
    <row r="877" spans="1:11" x14ac:dyDescent="0.25">
      <c r="A877" s="590"/>
      <c r="B877" s="576" t="s">
        <v>93</v>
      </c>
      <c r="C877" s="578"/>
      <c r="D877" s="577"/>
      <c r="E877" s="932"/>
      <c r="F877" s="564"/>
      <c r="G877" s="581"/>
      <c r="H877" s="581"/>
      <c r="I877" s="581"/>
      <c r="J877" s="567"/>
      <c r="K877" s="568"/>
    </row>
    <row r="878" spans="1:11" x14ac:dyDescent="0.25">
      <c r="A878" s="575">
        <v>63422</v>
      </c>
      <c r="B878" s="576" t="s">
        <v>422</v>
      </c>
      <c r="C878" s="581">
        <v>7927</v>
      </c>
      <c r="D878" s="581">
        <v>0</v>
      </c>
      <c r="E878" s="901">
        <v>0</v>
      </c>
      <c r="F878" s="581"/>
      <c r="G878" s="581">
        <v>0</v>
      </c>
      <c r="H878" s="581"/>
      <c r="I878" s="639">
        <f t="shared" ref="I878:I883" si="92">F878/C878</f>
        <v>0</v>
      </c>
      <c r="J878" s="567"/>
      <c r="K878" s="568"/>
    </row>
    <row r="879" spans="1:11" x14ac:dyDescent="0.25">
      <c r="A879" s="575">
        <v>63430</v>
      </c>
      <c r="B879" s="576" t="s">
        <v>423</v>
      </c>
      <c r="C879" s="581">
        <v>0</v>
      </c>
      <c r="D879" s="581">
        <v>0</v>
      </c>
      <c r="E879" s="901">
        <v>1E-3</v>
      </c>
      <c r="F879" s="581"/>
      <c r="G879" s="581">
        <v>0</v>
      </c>
      <c r="H879" s="581"/>
      <c r="I879" s="639" t="e">
        <f t="shared" si="92"/>
        <v>#DIV/0!</v>
      </c>
      <c r="J879" s="567"/>
      <c r="K879" s="568"/>
    </row>
    <row r="880" spans="1:11" x14ac:dyDescent="0.25">
      <c r="A880" s="575">
        <v>69425</v>
      </c>
      <c r="B880" s="576" t="s">
        <v>424</v>
      </c>
      <c r="C880" s="562">
        <v>1088</v>
      </c>
      <c r="D880" s="581">
        <v>3057.3</v>
      </c>
      <c r="E880" s="901">
        <v>3000</v>
      </c>
      <c r="F880" s="581"/>
      <c r="G880" s="581">
        <v>3000</v>
      </c>
      <c r="H880" s="581"/>
      <c r="I880" s="639">
        <f t="shared" si="92"/>
        <v>0</v>
      </c>
      <c r="J880" s="567"/>
      <c r="K880" s="568"/>
    </row>
    <row r="881" spans="1:11" x14ac:dyDescent="0.25">
      <c r="A881" s="575">
        <v>69426</v>
      </c>
      <c r="B881" s="576" t="s">
        <v>425</v>
      </c>
      <c r="C881" s="562"/>
      <c r="D881" s="581">
        <v>0</v>
      </c>
      <c r="E881" s="901">
        <v>0.01</v>
      </c>
      <c r="F881" s="581"/>
      <c r="G881" s="581">
        <v>0</v>
      </c>
      <c r="H881" s="581"/>
      <c r="I881" s="639" t="e">
        <f t="shared" si="92"/>
        <v>#DIV/0!</v>
      </c>
      <c r="J881" s="567"/>
      <c r="K881" s="568"/>
    </row>
    <row r="882" spans="1:11" x14ac:dyDescent="0.25">
      <c r="A882" s="575">
        <v>90000</v>
      </c>
      <c r="B882" s="576" t="s">
        <v>370</v>
      </c>
      <c r="C882" s="562"/>
      <c r="D882" s="581">
        <v>0</v>
      </c>
      <c r="E882" s="901">
        <v>0.01</v>
      </c>
      <c r="F882" s="581"/>
      <c r="G882" s="581">
        <v>0</v>
      </c>
      <c r="H882" s="581"/>
      <c r="I882" s="639" t="e">
        <f t="shared" si="92"/>
        <v>#DIV/0!</v>
      </c>
      <c r="J882" s="567"/>
      <c r="K882" s="568"/>
    </row>
    <row r="883" spans="1:11" x14ac:dyDescent="0.25">
      <c r="A883" s="560"/>
      <c r="B883" s="561" t="s">
        <v>116</v>
      </c>
      <c r="C883" s="566">
        <f>SUM(C878:C882)</f>
        <v>9015</v>
      </c>
      <c r="D883" s="566">
        <f t="shared" ref="D883:F883" si="93">SUM(D878:D882)</f>
        <v>3057.3</v>
      </c>
      <c r="E883" s="956">
        <f>SUM(E878:E882)</f>
        <v>3000.0210000000006</v>
      </c>
      <c r="F883" s="566">
        <f t="shared" si="93"/>
        <v>0</v>
      </c>
      <c r="G883" s="566">
        <f>SUM(G878:G882)</f>
        <v>3000</v>
      </c>
      <c r="H883" s="566">
        <f t="shared" ref="H883" si="94">SUM(H878:H882)</f>
        <v>0</v>
      </c>
      <c r="I883" s="639">
        <f t="shared" si="92"/>
        <v>0</v>
      </c>
      <c r="J883" s="567"/>
      <c r="K883" s="568"/>
    </row>
    <row r="884" spans="1:11" s="569" customFormat="1" x14ac:dyDescent="0.25">
      <c r="A884" s="560"/>
      <c r="B884" s="561"/>
      <c r="C884" s="564"/>
      <c r="D884" s="576"/>
      <c r="E884" s="960"/>
      <c r="F884" s="564"/>
      <c r="G884" s="581"/>
      <c r="H884" s="581"/>
      <c r="I884" s="581"/>
      <c r="J884" s="567"/>
      <c r="K884" s="568"/>
    </row>
    <row r="885" spans="1:11" x14ac:dyDescent="0.25">
      <c r="A885" s="687" t="s">
        <v>426</v>
      </c>
      <c r="B885" s="628" t="s">
        <v>427</v>
      </c>
      <c r="C885" s="630">
        <v>2017</v>
      </c>
      <c r="D885" s="629" t="s">
        <v>1236</v>
      </c>
      <c r="E885" s="629">
        <v>2018</v>
      </c>
      <c r="F885" s="630" t="s">
        <v>1236</v>
      </c>
      <c r="G885" s="631" t="s">
        <v>4</v>
      </c>
      <c r="H885" s="631">
        <v>2019</v>
      </c>
      <c r="I885" s="627" t="s">
        <v>341</v>
      </c>
      <c r="J885" s="567"/>
      <c r="K885" s="568"/>
    </row>
    <row r="886" spans="1:11" x14ac:dyDescent="0.25">
      <c r="A886" s="590"/>
      <c r="B886" s="576" t="s">
        <v>93</v>
      </c>
      <c r="C886" s="630" t="s">
        <v>6</v>
      </c>
      <c r="D886" s="634">
        <v>43069</v>
      </c>
      <c r="E886" s="629" t="s">
        <v>6</v>
      </c>
      <c r="F886" s="634">
        <v>43131</v>
      </c>
      <c r="G886" s="635" t="s">
        <v>1131</v>
      </c>
      <c r="H886" s="635" t="s">
        <v>6</v>
      </c>
      <c r="I886" s="627" t="s">
        <v>92</v>
      </c>
      <c r="J886" s="567"/>
      <c r="K886" s="568"/>
    </row>
    <row r="887" spans="1:11" x14ac:dyDescent="0.25">
      <c r="A887" s="590">
        <v>53345</v>
      </c>
      <c r="B887" s="576" t="s">
        <v>428</v>
      </c>
      <c r="C887" s="562">
        <v>10000</v>
      </c>
      <c r="D887" s="562">
        <v>0</v>
      </c>
      <c r="E887" s="902">
        <v>0</v>
      </c>
      <c r="F887" s="564">
        <v>0</v>
      </c>
      <c r="G887" s="581">
        <v>0</v>
      </c>
      <c r="H887" s="581"/>
      <c r="I887" s="639">
        <f t="shared" ref="I887:I892" si="95">F887/C887</f>
        <v>0</v>
      </c>
      <c r="J887" s="567"/>
      <c r="K887" s="568"/>
    </row>
    <row r="888" spans="1:11" x14ac:dyDescent="0.25">
      <c r="A888" s="590">
        <v>63000</v>
      </c>
      <c r="B888" s="576" t="s">
        <v>429</v>
      </c>
      <c r="C888" s="562"/>
      <c r="D888" s="562">
        <v>0</v>
      </c>
      <c r="E888" s="902">
        <v>0.01</v>
      </c>
      <c r="F888" s="564">
        <v>0</v>
      </c>
      <c r="G888" s="581">
        <v>0</v>
      </c>
      <c r="H888" s="581"/>
      <c r="I888" s="639" t="e">
        <f t="shared" si="95"/>
        <v>#DIV/0!</v>
      </c>
      <c r="J888" s="567"/>
      <c r="K888" s="568"/>
    </row>
    <row r="889" spans="1:11" x14ac:dyDescent="0.25">
      <c r="A889" s="590">
        <v>65715</v>
      </c>
      <c r="B889" s="576" t="s">
        <v>430</v>
      </c>
      <c r="C889" s="562"/>
      <c r="D889" s="562">
        <v>0</v>
      </c>
      <c r="E889" s="902">
        <v>0.01</v>
      </c>
      <c r="F889" s="564">
        <v>0</v>
      </c>
      <c r="G889" s="581">
        <v>0</v>
      </c>
      <c r="H889" s="581"/>
      <c r="I889" s="639" t="e">
        <f t="shared" si="95"/>
        <v>#DIV/0!</v>
      </c>
      <c r="J889" s="567"/>
      <c r="K889" s="568"/>
    </row>
    <row r="890" spans="1:11" x14ac:dyDescent="0.25">
      <c r="A890" s="590">
        <v>65905</v>
      </c>
      <c r="B890" s="576" t="s">
        <v>431</v>
      </c>
      <c r="C890" s="562"/>
      <c r="D890" s="562">
        <v>0</v>
      </c>
      <c r="E890" s="902">
        <v>0.01</v>
      </c>
      <c r="F890" s="564">
        <v>0</v>
      </c>
      <c r="G890" s="581">
        <v>0</v>
      </c>
      <c r="H890" s="581"/>
      <c r="I890" s="639" t="e">
        <f t="shared" si="95"/>
        <v>#DIV/0!</v>
      </c>
      <c r="J890" s="567"/>
      <c r="K890" s="568"/>
    </row>
    <row r="891" spans="1:11" x14ac:dyDescent="0.25">
      <c r="A891" s="590">
        <v>69999</v>
      </c>
      <c r="B891" s="576" t="s">
        <v>432</v>
      </c>
      <c r="C891" s="562"/>
      <c r="D891" s="581">
        <v>0</v>
      </c>
      <c r="E891" s="902">
        <v>0</v>
      </c>
      <c r="F891" s="564">
        <v>0</v>
      </c>
      <c r="G891" s="581">
        <v>0</v>
      </c>
      <c r="H891" s="581"/>
      <c r="I891" s="639" t="e">
        <f t="shared" si="95"/>
        <v>#DIV/0!</v>
      </c>
      <c r="J891" s="567"/>
      <c r="K891" s="568"/>
    </row>
    <row r="892" spans="1:11" x14ac:dyDescent="0.25">
      <c r="A892" s="590"/>
      <c r="B892" s="561" t="s">
        <v>116</v>
      </c>
      <c r="C892" s="563">
        <f>SUM(C887:C891)</f>
        <v>10000</v>
      </c>
      <c r="D892" s="563">
        <f t="shared" ref="D892:H892" si="96">SUM(D887:D891)</f>
        <v>0</v>
      </c>
      <c r="E892" s="954">
        <f>SUM(E887:E891)</f>
        <v>0.03</v>
      </c>
      <c r="F892" s="674">
        <f t="shared" si="96"/>
        <v>0</v>
      </c>
      <c r="G892" s="563">
        <f>SUM(G887:G891)</f>
        <v>0</v>
      </c>
      <c r="H892" s="563">
        <f t="shared" si="96"/>
        <v>0</v>
      </c>
      <c r="I892" s="639">
        <f t="shared" si="95"/>
        <v>0</v>
      </c>
      <c r="J892" s="567"/>
      <c r="K892" s="568"/>
    </row>
    <row r="893" spans="1:11" s="569" customFormat="1" x14ac:dyDescent="0.25">
      <c r="A893" s="560"/>
      <c r="B893" s="561"/>
      <c r="C893" s="564"/>
      <c r="D893" s="576"/>
      <c r="E893" s="960"/>
      <c r="F893" s="564"/>
      <c r="G893" s="581"/>
      <c r="H893" s="581"/>
      <c r="I893" s="581"/>
      <c r="J893" s="633"/>
      <c r="K893" s="568"/>
    </row>
    <row r="894" spans="1:11" x14ac:dyDescent="0.25">
      <c r="A894" s="687" t="s">
        <v>433</v>
      </c>
      <c r="B894" s="624" t="s">
        <v>434</v>
      </c>
      <c r="C894" s="630">
        <v>2017</v>
      </c>
      <c r="D894" s="629" t="s">
        <v>1236</v>
      </c>
      <c r="E894" s="629">
        <v>2018</v>
      </c>
      <c r="F894" s="630" t="s">
        <v>1236</v>
      </c>
      <c r="G894" s="631" t="s">
        <v>4</v>
      </c>
      <c r="H894" s="631">
        <v>2019</v>
      </c>
      <c r="I894" s="627" t="s">
        <v>341</v>
      </c>
      <c r="J894" s="633"/>
      <c r="K894" s="568"/>
    </row>
    <row r="895" spans="1:11" x14ac:dyDescent="0.25">
      <c r="A895" s="590"/>
      <c r="B895" s="576" t="s">
        <v>93</v>
      </c>
      <c r="C895" s="630" t="s">
        <v>6</v>
      </c>
      <c r="D895" s="634">
        <v>43069</v>
      </c>
      <c r="E895" s="629" t="s">
        <v>6</v>
      </c>
      <c r="F895" s="634">
        <v>43131</v>
      </c>
      <c r="G895" s="635" t="s">
        <v>1131</v>
      </c>
      <c r="H895" s="635" t="s">
        <v>6</v>
      </c>
      <c r="I895" s="627" t="s">
        <v>92</v>
      </c>
      <c r="J895" s="633"/>
      <c r="K895" s="568"/>
    </row>
    <row r="896" spans="1:11" x14ac:dyDescent="0.25">
      <c r="A896" s="590">
        <v>69999</v>
      </c>
      <c r="B896" s="576" t="s">
        <v>432</v>
      </c>
      <c r="C896" s="581">
        <v>0</v>
      </c>
      <c r="D896" s="581"/>
      <c r="E896" s="581"/>
      <c r="F896" s="581">
        <v>0</v>
      </c>
      <c r="G896" s="581">
        <v>0</v>
      </c>
      <c r="H896" s="581">
        <v>0</v>
      </c>
      <c r="I896" s="639" t="e">
        <f>F896/C896</f>
        <v>#DIV/0!</v>
      </c>
      <c r="J896" s="633"/>
      <c r="K896" s="568"/>
    </row>
    <row r="897" spans="1:11" x14ac:dyDescent="0.25">
      <c r="A897" s="590"/>
      <c r="B897" s="561" t="s">
        <v>116</v>
      </c>
      <c r="C897" s="566">
        <f>SUM(C896)</f>
        <v>0</v>
      </c>
      <c r="D897" s="566">
        <f t="shared" ref="D897:H897" si="97">SUM(D896)</f>
        <v>0</v>
      </c>
      <c r="E897" s="566">
        <f>SUM(E896)</f>
        <v>0</v>
      </c>
      <c r="F897" s="566">
        <f t="shared" si="97"/>
        <v>0</v>
      </c>
      <c r="G897" s="566">
        <f>SUM(G896)</f>
        <v>0</v>
      </c>
      <c r="H897" s="566">
        <f t="shared" si="97"/>
        <v>0</v>
      </c>
      <c r="I897" s="639" t="e">
        <f>F897/C897</f>
        <v>#DIV/0!</v>
      </c>
      <c r="J897" s="633"/>
      <c r="K897" s="568"/>
    </row>
    <row r="898" spans="1:11" s="728" customFormat="1" x14ac:dyDescent="0.25">
      <c r="A898" s="600"/>
      <c r="B898" s="722"/>
      <c r="C898" s="724"/>
      <c r="D898" s="607"/>
      <c r="E898" s="723"/>
      <c r="F898" s="724"/>
      <c r="G898" s="725"/>
      <c r="H898" s="725"/>
      <c r="I898" s="725"/>
      <c r="J898" s="726"/>
      <c r="K898" s="727"/>
    </row>
    <row r="899" spans="1:11" x14ac:dyDescent="0.25">
      <c r="A899" s="687" t="s">
        <v>407</v>
      </c>
      <c r="B899" s="628" t="s">
        <v>435</v>
      </c>
      <c r="C899" s="630">
        <v>2017</v>
      </c>
      <c r="D899" s="629" t="s">
        <v>1236</v>
      </c>
      <c r="E899" s="629">
        <v>2018</v>
      </c>
      <c r="F899" s="630" t="s">
        <v>1236</v>
      </c>
      <c r="G899" s="631" t="s">
        <v>4</v>
      </c>
      <c r="H899" s="631">
        <v>2019</v>
      </c>
      <c r="I899" s="627" t="s">
        <v>341</v>
      </c>
      <c r="J899" s="633"/>
      <c r="K899" s="568"/>
    </row>
    <row r="900" spans="1:11" x14ac:dyDescent="0.25">
      <c r="A900" s="560"/>
      <c r="B900" s="561"/>
      <c r="C900" s="630" t="s">
        <v>6</v>
      </c>
      <c r="D900" s="634">
        <v>43069</v>
      </c>
      <c r="E900" s="629" t="s">
        <v>6</v>
      </c>
      <c r="F900" s="634">
        <v>43131</v>
      </c>
      <c r="G900" s="635" t="s">
        <v>1131</v>
      </c>
      <c r="H900" s="635" t="s">
        <v>6</v>
      </c>
      <c r="I900" s="627" t="s">
        <v>92</v>
      </c>
      <c r="J900" s="729"/>
      <c r="K900" s="691"/>
    </row>
    <row r="901" spans="1:11" x14ac:dyDescent="0.25">
      <c r="A901" s="590"/>
      <c r="B901" s="576" t="s">
        <v>93</v>
      </c>
      <c r="C901" s="578"/>
      <c r="D901" s="593"/>
      <c r="E901" s="593"/>
      <c r="F901" s="564"/>
      <c r="G901" s="581"/>
      <c r="H901" s="581"/>
      <c r="I901" s="581"/>
      <c r="J901" s="730"/>
      <c r="K901" s="691"/>
    </row>
    <row r="902" spans="1:11" x14ac:dyDescent="0.25">
      <c r="A902" s="590">
        <v>69612</v>
      </c>
      <c r="B902" s="576" t="s">
        <v>436</v>
      </c>
      <c r="C902" s="610">
        <v>0.01</v>
      </c>
      <c r="D902" s="581">
        <v>0</v>
      </c>
      <c r="E902" s="581">
        <v>0.01</v>
      </c>
      <c r="F902" s="564">
        <v>0</v>
      </c>
      <c r="G902" s="581">
        <v>0</v>
      </c>
      <c r="H902" s="581">
        <v>0</v>
      </c>
      <c r="I902" s="639">
        <f>F902/C902</f>
        <v>0</v>
      </c>
      <c r="J902" s="729"/>
      <c r="K902" s="731"/>
    </row>
    <row r="903" spans="1:11" x14ac:dyDescent="0.25">
      <c r="A903" s="732"/>
      <c r="B903" s="579" t="s">
        <v>116</v>
      </c>
      <c r="C903" s="565">
        <f>SUM(C902)</f>
        <v>0.01</v>
      </c>
      <c r="D903" s="579">
        <f t="shared" ref="D903:H903" si="98">SUM(D902)</f>
        <v>0</v>
      </c>
      <c r="E903" s="579">
        <f>SUM(E902)</f>
        <v>0.01</v>
      </c>
      <c r="F903" s="565">
        <f t="shared" si="98"/>
        <v>0</v>
      </c>
      <c r="G903" s="579">
        <f>SUM(G902)</f>
        <v>0</v>
      </c>
      <c r="H903" s="579">
        <f t="shared" si="98"/>
        <v>0</v>
      </c>
      <c r="I903" s="639">
        <f>F903/C903</f>
        <v>0</v>
      </c>
      <c r="J903" s="729"/>
      <c r="K903" s="568"/>
    </row>
    <row r="904" spans="1:11" s="569" customFormat="1" x14ac:dyDescent="0.25">
      <c r="A904" s="560"/>
      <c r="B904" s="561"/>
      <c r="C904" s="564"/>
      <c r="D904" s="576"/>
      <c r="E904" s="601"/>
      <c r="F904" s="564"/>
      <c r="G904" s="581"/>
      <c r="H904" s="581"/>
      <c r="I904" s="581"/>
      <c r="J904" s="567"/>
      <c r="K904" s="568"/>
    </row>
    <row r="905" spans="1:11" x14ac:dyDescent="0.25">
      <c r="A905" s="687" t="s">
        <v>437</v>
      </c>
      <c r="B905" s="628" t="s">
        <v>323</v>
      </c>
      <c r="C905" s="630">
        <v>2017</v>
      </c>
      <c r="D905" s="629" t="s">
        <v>1236</v>
      </c>
      <c r="E905" s="629">
        <v>2018</v>
      </c>
      <c r="F905" s="630" t="s">
        <v>1236</v>
      </c>
      <c r="G905" s="631" t="s">
        <v>4</v>
      </c>
      <c r="H905" s="631">
        <v>2019</v>
      </c>
      <c r="I905" s="627" t="s">
        <v>341</v>
      </c>
      <c r="J905" s="733"/>
      <c r="K905" s="734"/>
    </row>
    <row r="906" spans="1:11" x14ac:dyDescent="0.25">
      <c r="A906" s="590"/>
      <c r="B906" s="561"/>
      <c r="C906" s="630" t="s">
        <v>6</v>
      </c>
      <c r="D906" s="634">
        <v>43069</v>
      </c>
      <c r="E906" s="629" t="s">
        <v>6</v>
      </c>
      <c r="F906" s="634">
        <v>43131</v>
      </c>
      <c r="G906" s="635" t="s">
        <v>1131</v>
      </c>
      <c r="H906" s="635" t="s">
        <v>6</v>
      </c>
      <c r="I906" s="627" t="s">
        <v>92</v>
      </c>
      <c r="J906" s="657"/>
      <c r="K906" s="657"/>
    </row>
    <row r="907" spans="1:11" x14ac:dyDescent="0.25">
      <c r="A907" s="575"/>
      <c r="B907" s="576" t="s">
        <v>93</v>
      </c>
      <c r="C907" s="578"/>
      <c r="D907" s="593"/>
      <c r="E907" s="593"/>
      <c r="F907" s="564"/>
      <c r="G907" s="581"/>
      <c r="H907" s="581"/>
      <c r="I907" s="581"/>
      <c r="J907" s="657"/>
      <c r="K907" s="657"/>
    </row>
    <row r="908" spans="1:11" x14ac:dyDescent="0.25">
      <c r="A908" s="590">
        <v>70300</v>
      </c>
      <c r="B908" s="576" t="s">
        <v>438</v>
      </c>
      <c r="C908" s="562">
        <v>50000</v>
      </c>
      <c r="D908" s="721">
        <v>0</v>
      </c>
      <c r="E908" s="907">
        <v>50000</v>
      </c>
      <c r="F908" s="581"/>
      <c r="G908" s="581">
        <v>50000</v>
      </c>
      <c r="H908" s="581"/>
      <c r="I908" s="639">
        <f t="shared" ref="I908:I914" si="99">F908/C908</f>
        <v>0</v>
      </c>
      <c r="J908" s="735"/>
      <c r="K908" s="659"/>
    </row>
    <row r="909" spans="1:11" x14ac:dyDescent="0.25">
      <c r="A909" s="590">
        <v>70301</v>
      </c>
      <c r="B909" s="576" t="s">
        <v>439</v>
      </c>
      <c r="C909" s="562">
        <v>10000</v>
      </c>
      <c r="D909" s="721">
        <v>0</v>
      </c>
      <c r="E909" s="901">
        <v>0</v>
      </c>
      <c r="F909" s="581"/>
      <c r="G909" s="581">
        <v>0</v>
      </c>
      <c r="H909" s="581"/>
      <c r="I909" s="639">
        <f t="shared" si="99"/>
        <v>0</v>
      </c>
      <c r="J909" s="735"/>
      <c r="K909" s="659"/>
    </row>
    <row r="910" spans="1:11" x14ac:dyDescent="0.25">
      <c r="A910" s="575">
        <v>70500</v>
      </c>
      <c r="B910" s="582" t="s">
        <v>440</v>
      </c>
      <c r="C910" s="562">
        <v>25000</v>
      </c>
      <c r="D910" s="721">
        <v>0</v>
      </c>
      <c r="E910" s="901">
        <v>25000</v>
      </c>
      <c r="F910" s="581"/>
      <c r="G910" s="581">
        <v>25000</v>
      </c>
      <c r="H910" s="581"/>
      <c r="I910" s="639">
        <f t="shared" si="99"/>
        <v>0</v>
      </c>
      <c r="J910" s="735"/>
      <c r="K910" s="736"/>
    </row>
    <row r="911" spans="1:11" x14ac:dyDescent="0.25">
      <c r="A911" s="590">
        <v>70600</v>
      </c>
      <c r="B911" s="582" t="s">
        <v>441</v>
      </c>
      <c r="C911" s="562">
        <v>4000</v>
      </c>
      <c r="D911" s="721">
        <v>2496.59</v>
      </c>
      <c r="E911" s="901">
        <v>4000</v>
      </c>
      <c r="F911" s="581"/>
      <c r="G911" s="581">
        <v>4000</v>
      </c>
      <c r="H911" s="581"/>
      <c r="I911" s="639">
        <f t="shared" si="99"/>
        <v>0</v>
      </c>
      <c r="J911" s="735"/>
      <c r="K911" s="736"/>
    </row>
    <row r="912" spans="1:11" x14ac:dyDescent="0.25">
      <c r="A912" s="590">
        <v>80100</v>
      </c>
      <c r="B912" s="582" t="s">
        <v>442</v>
      </c>
      <c r="C912" s="562"/>
      <c r="D912" s="721">
        <v>0</v>
      </c>
      <c r="E912" s="901">
        <v>0.01</v>
      </c>
      <c r="F912" s="581"/>
      <c r="G912" s="581">
        <v>0</v>
      </c>
      <c r="H912" s="581"/>
      <c r="I912" s="639" t="e">
        <f t="shared" si="99"/>
        <v>#DIV/0!</v>
      </c>
      <c r="J912" s="735"/>
      <c r="K912" s="736"/>
    </row>
    <row r="913" spans="1:11" x14ac:dyDescent="0.25">
      <c r="A913" s="590">
        <v>80200</v>
      </c>
      <c r="B913" s="582" t="s">
        <v>443</v>
      </c>
      <c r="C913" s="562"/>
      <c r="D913" s="721">
        <v>0</v>
      </c>
      <c r="E913" s="901">
        <v>0.01</v>
      </c>
      <c r="F913" s="581"/>
      <c r="G913" s="581">
        <v>0</v>
      </c>
      <c r="H913" s="581"/>
      <c r="I913" s="639" t="e">
        <f t="shared" si="99"/>
        <v>#DIV/0!</v>
      </c>
      <c r="J913" s="735"/>
      <c r="K913" s="736"/>
    </row>
    <row r="914" spans="1:11" x14ac:dyDescent="0.25">
      <c r="A914" s="575"/>
      <c r="B914" s="579" t="s">
        <v>116</v>
      </c>
      <c r="C914" s="563">
        <f>SUM(C908:C913)</f>
        <v>89000</v>
      </c>
      <c r="D914" s="563">
        <f t="shared" ref="D914:F914" si="100">SUM(D908:D913)</f>
        <v>2496.59</v>
      </c>
      <c r="E914" s="954">
        <f>SUM(E908:E913)</f>
        <v>79000.01999999999</v>
      </c>
      <c r="F914" s="563">
        <f t="shared" si="100"/>
        <v>0</v>
      </c>
      <c r="G914" s="563">
        <f>SUM(G908:G913)</f>
        <v>79000</v>
      </c>
      <c r="H914" s="563">
        <f t="shared" ref="H914" si="101">SUM(H908:H913)</f>
        <v>0</v>
      </c>
      <c r="I914" s="639">
        <f t="shared" si="99"/>
        <v>0</v>
      </c>
      <c r="J914" s="737"/>
      <c r="K914" s="737"/>
    </row>
    <row r="915" spans="1:11" s="569" customFormat="1" x14ac:dyDescent="0.25">
      <c r="A915" s="575"/>
      <c r="B915" s="579"/>
      <c r="C915" s="610"/>
      <c r="D915" s="616"/>
      <c r="E915" s="601"/>
      <c r="F915" s="564"/>
      <c r="G915" s="581"/>
      <c r="H915" s="581"/>
      <c r="I915" s="581"/>
      <c r="J915" s="737"/>
      <c r="K915" s="737"/>
    </row>
    <row r="916" spans="1:11" x14ac:dyDescent="0.25">
      <c r="A916" s="560" t="s">
        <v>448</v>
      </c>
      <c r="B916" s="579"/>
      <c r="C916" s="581"/>
      <c r="D916" s="582"/>
      <c r="E916" s="582"/>
      <c r="F916" s="582"/>
      <c r="G916" s="581"/>
      <c r="H916" s="581"/>
      <c r="I916" s="581"/>
      <c r="J916" s="567"/>
      <c r="K916" s="568"/>
    </row>
    <row r="917" spans="1:11" x14ac:dyDescent="0.25">
      <c r="A917" s="560"/>
      <c r="B917" s="579" t="s">
        <v>449</v>
      </c>
      <c r="C917" s="563">
        <f t="shared" ref="C917:H917" si="102">C740</f>
        <v>1267455</v>
      </c>
      <c r="D917" s="616">
        <f t="shared" si="102"/>
        <v>1071335.581</v>
      </c>
      <c r="E917" s="616">
        <f t="shared" si="102"/>
        <v>1238030.04</v>
      </c>
      <c r="F917" s="616">
        <f t="shared" si="102"/>
        <v>0</v>
      </c>
      <c r="G917" s="616">
        <f t="shared" si="102"/>
        <v>1238030</v>
      </c>
      <c r="H917" s="616">
        <f t="shared" si="102"/>
        <v>0</v>
      </c>
      <c r="I917" s="639">
        <f t="shared" ref="I917:I924" si="103">F917/C917</f>
        <v>0</v>
      </c>
      <c r="J917" s="567"/>
      <c r="K917" s="568"/>
    </row>
    <row r="918" spans="1:11" x14ac:dyDescent="0.25">
      <c r="A918" s="560"/>
      <c r="B918" s="579" t="s">
        <v>116</v>
      </c>
      <c r="C918" s="563">
        <f t="shared" ref="C918:H918" si="104">C747+C776+C794+C806+C838+C859+C873+C883+C892+C897+C903+C914</f>
        <v>1247192.02</v>
      </c>
      <c r="D918" s="616">
        <f t="shared" si="104"/>
        <v>978300.71</v>
      </c>
      <c r="E918" s="616">
        <f t="shared" si="104"/>
        <v>1137653.591</v>
      </c>
      <c r="F918" s="616">
        <f t="shared" si="104"/>
        <v>0</v>
      </c>
      <c r="G918" s="616">
        <f t="shared" si="104"/>
        <v>1137653.5</v>
      </c>
      <c r="H918" s="616">
        <f t="shared" si="104"/>
        <v>0</v>
      </c>
      <c r="I918" s="639">
        <f t="shared" si="103"/>
        <v>0</v>
      </c>
      <c r="J918" s="567"/>
      <c r="K918" s="568"/>
    </row>
    <row r="919" spans="1:11" x14ac:dyDescent="0.25">
      <c r="A919" s="590"/>
      <c r="B919" s="579" t="s">
        <v>450</v>
      </c>
      <c r="C919" s="616">
        <f>C917-C918</f>
        <v>20262.979999999981</v>
      </c>
      <c r="D919" s="616">
        <f t="shared" ref="D919:F919" si="105">D917-D918</f>
        <v>93034.871000000043</v>
      </c>
      <c r="E919" s="616">
        <f>E917-E918</f>
        <v>100376.44900000002</v>
      </c>
      <c r="F919" s="616">
        <f t="shared" si="105"/>
        <v>0</v>
      </c>
      <c r="G919" s="616">
        <f>G917-G918</f>
        <v>100376.5</v>
      </c>
      <c r="H919" s="616">
        <f t="shared" ref="H919" si="106">H917-H918</f>
        <v>0</v>
      </c>
      <c r="I919" s="639">
        <f t="shared" si="103"/>
        <v>0</v>
      </c>
      <c r="J919" s="739"/>
      <c r="K919" s="740"/>
    </row>
    <row r="920" spans="1:11" x14ac:dyDescent="0.25">
      <c r="A920" s="590"/>
      <c r="B920" s="579" t="s">
        <v>451</v>
      </c>
      <c r="C920" s="563">
        <f>C702+C919</f>
        <v>563934.98</v>
      </c>
      <c r="D920" s="616">
        <f>D702+D919</f>
        <v>93034.871000000043</v>
      </c>
      <c r="E920" s="616">
        <f>E702+E919</f>
        <v>617023.44900000002</v>
      </c>
      <c r="F920" s="616">
        <f>F702+F919</f>
        <v>0</v>
      </c>
      <c r="G920" s="616">
        <f>G702+G919</f>
        <v>717399.94900000002</v>
      </c>
      <c r="H920" s="616"/>
      <c r="I920" s="639">
        <f t="shared" si="103"/>
        <v>0</v>
      </c>
      <c r="J920" s="690"/>
      <c r="K920" s="653"/>
    </row>
    <row r="921" spans="1:11" x14ac:dyDescent="0.25">
      <c r="A921" s="590"/>
      <c r="B921" s="579" t="s">
        <v>452</v>
      </c>
      <c r="C921" s="563">
        <v>0.01</v>
      </c>
      <c r="D921" s="616">
        <v>0</v>
      </c>
      <c r="E921" s="616">
        <v>0.01</v>
      </c>
      <c r="F921" s="616">
        <v>0.01</v>
      </c>
      <c r="G921" s="616">
        <v>0.01</v>
      </c>
      <c r="H921" s="616">
        <v>0.01</v>
      </c>
      <c r="I921" s="639">
        <f t="shared" si="103"/>
        <v>1</v>
      </c>
      <c r="J921" s="690"/>
      <c r="K921" s="653"/>
    </row>
    <row r="922" spans="1:11" x14ac:dyDescent="0.25">
      <c r="A922" s="590"/>
      <c r="B922" s="579" t="s">
        <v>453</v>
      </c>
      <c r="C922" s="581">
        <v>0.01</v>
      </c>
      <c r="D922" s="582">
        <v>0</v>
      </c>
      <c r="E922" s="582">
        <v>0.01</v>
      </c>
      <c r="F922" s="582">
        <v>0.01</v>
      </c>
      <c r="G922" s="582">
        <v>0.01</v>
      </c>
      <c r="H922" s="582">
        <v>0.01</v>
      </c>
      <c r="I922" s="639">
        <f t="shared" si="103"/>
        <v>1</v>
      </c>
      <c r="J922" s="690"/>
      <c r="K922" s="653"/>
    </row>
    <row r="923" spans="1:11" x14ac:dyDescent="0.25">
      <c r="A923" s="590"/>
      <c r="B923" s="579" t="s">
        <v>454</v>
      </c>
      <c r="C923" s="743">
        <v>44000</v>
      </c>
      <c r="D923" s="742">
        <v>0</v>
      </c>
      <c r="E923" s="741"/>
      <c r="F923" s="742">
        <v>0</v>
      </c>
      <c r="G923" s="742"/>
      <c r="H923" s="742"/>
      <c r="I923" s="639">
        <f t="shared" si="103"/>
        <v>0</v>
      </c>
      <c r="J923" s="690"/>
      <c r="K923" s="653"/>
    </row>
    <row r="924" spans="1:11" x14ac:dyDescent="0.25">
      <c r="A924" s="560"/>
      <c r="B924" s="579" t="s">
        <v>455</v>
      </c>
      <c r="C924" s="563">
        <f>C920-C921-C922-C923</f>
        <v>519934.95999999996</v>
      </c>
      <c r="D924" s="616">
        <f t="shared" ref="D924:F924" si="107">D920-D921-D922-D923</f>
        <v>93034.871000000043</v>
      </c>
      <c r="E924" s="616">
        <f>E920-E921-E922-E923</f>
        <v>617023.429</v>
      </c>
      <c r="F924" s="616">
        <f t="shared" si="107"/>
        <v>-0.02</v>
      </c>
      <c r="G924" s="616">
        <f>G920-G921-G922-G923</f>
        <v>717399.929</v>
      </c>
      <c r="H924" s="616">
        <f t="shared" ref="H924" si="108">H920-H921-H922-H923</f>
        <v>-0.02</v>
      </c>
      <c r="I924" s="639">
        <f t="shared" si="103"/>
        <v>-3.846634971420272E-8</v>
      </c>
      <c r="J924" s="690"/>
      <c r="K924" s="653"/>
    </row>
    <row r="925" spans="1:11" s="569" customFormat="1" x14ac:dyDescent="0.25">
      <c r="A925" s="560"/>
      <c r="B925" s="561"/>
      <c r="C925" s="564"/>
      <c r="D925" s="581"/>
      <c r="E925" s="601"/>
      <c r="F925" s="564"/>
      <c r="G925" s="581"/>
      <c r="H925" s="581"/>
      <c r="I925" s="581"/>
      <c r="J925" s="690"/>
      <c r="K925" s="653"/>
    </row>
    <row r="926" spans="1:11" x14ac:dyDescent="0.25">
      <c r="A926" s="687">
        <v>220</v>
      </c>
      <c r="B926" s="688" t="s">
        <v>456</v>
      </c>
      <c r="C926" s="677">
        <v>2017</v>
      </c>
      <c r="D926" s="765" t="s">
        <v>1236</v>
      </c>
      <c r="E926" s="765">
        <v>2018</v>
      </c>
      <c r="F926" s="677" t="s">
        <v>1236</v>
      </c>
      <c r="G926" s="765" t="s">
        <v>4</v>
      </c>
      <c r="H926" s="765">
        <v>2019</v>
      </c>
      <c r="I926" s="766" t="s">
        <v>341</v>
      </c>
      <c r="J926" s="690"/>
      <c r="K926" s="656"/>
    </row>
    <row r="927" spans="1:11" ht="16.5" x14ac:dyDescent="0.35">
      <c r="A927" s="590"/>
      <c r="B927" s="561"/>
      <c r="C927" s="630" t="s">
        <v>6</v>
      </c>
      <c r="D927" s="634">
        <v>43069</v>
      </c>
      <c r="E927" s="629" t="s">
        <v>6</v>
      </c>
      <c r="F927" s="634">
        <v>43131</v>
      </c>
      <c r="G927" s="635" t="s">
        <v>1131</v>
      </c>
      <c r="H927" s="635" t="s">
        <v>6</v>
      </c>
      <c r="I927" s="627" t="s">
        <v>92</v>
      </c>
      <c r="J927" s="690"/>
      <c r="K927" s="744"/>
    </row>
    <row r="928" spans="1:11" x14ac:dyDescent="0.25">
      <c r="A928" s="590"/>
      <c r="B928" s="561" t="s">
        <v>93</v>
      </c>
      <c r="C928" s="578"/>
      <c r="D928" s="577"/>
      <c r="E928" s="577"/>
      <c r="F928" s="564"/>
      <c r="G928" s="581"/>
      <c r="H928" s="581"/>
      <c r="I928" s="581"/>
      <c r="J928" s="567"/>
      <c r="K928" s="695"/>
    </row>
    <row r="929" spans="1:11" x14ac:dyDescent="0.25">
      <c r="A929" s="561" t="s">
        <v>1233</v>
      </c>
      <c r="B929" s="576"/>
      <c r="C929" s="566">
        <f>D945</f>
        <v>171863.97999999998</v>
      </c>
      <c r="D929" s="565"/>
      <c r="E929" s="566">
        <v>171864</v>
      </c>
      <c r="F929" s="566"/>
      <c r="G929" s="566">
        <v>171864</v>
      </c>
      <c r="H929" s="566"/>
      <c r="I929" s="581"/>
      <c r="J929" s="567"/>
      <c r="K929" s="568"/>
    </row>
    <row r="930" spans="1:11" x14ac:dyDescent="0.25">
      <c r="A930" s="575"/>
      <c r="B930" s="745" t="s">
        <v>457</v>
      </c>
      <c r="C930" s="581"/>
      <c r="D930" s="564"/>
      <c r="E930" s="564"/>
      <c r="F930" s="564"/>
      <c r="G930" s="581"/>
      <c r="H930" s="581"/>
      <c r="I930" s="581"/>
      <c r="J930" s="693"/>
      <c r="K930" s="746"/>
    </row>
    <row r="931" spans="1:11" x14ac:dyDescent="0.25">
      <c r="A931" s="575"/>
      <c r="B931" s="576" t="s">
        <v>458</v>
      </c>
      <c r="C931" s="581"/>
      <c r="D931" s="564"/>
      <c r="E931" s="564"/>
      <c r="F931" s="564"/>
      <c r="G931" s="581"/>
      <c r="H931" s="581"/>
      <c r="I931" s="581"/>
      <c r="J931" s="567"/>
      <c r="K931" s="746"/>
    </row>
    <row r="932" spans="1:11" x14ac:dyDescent="0.25">
      <c r="A932" s="575">
        <v>38101</v>
      </c>
      <c r="B932" s="576" t="s">
        <v>459</v>
      </c>
      <c r="C932" s="581">
        <v>171864</v>
      </c>
      <c r="D932" s="581">
        <v>171864</v>
      </c>
      <c r="E932" s="562">
        <v>171864</v>
      </c>
      <c r="F932" s="581"/>
      <c r="G932" s="581">
        <v>171864</v>
      </c>
      <c r="H932" s="581"/>
      <c r="I932" s="639">
        <f>F932/C932</f>
        <v>0</v>
      </c>
      <c r="J932" s="567"/>
      <c r="K932" s="568"/>
    </row>
    <row r="933" spans="1:11" x14ac:dyDescent="0.25">
      <c r="A933" s="575">
        <v>38102</v>
      </c>
      <c r="B933" s="576" t="s">
        <v>460</v>
      </c>
      <c r="C933" s="581">
        <v>0</v>
      </c>
      <c r="D933" s="564">
        <v>0</v>
      </c>
      <c r="E933" s="610">
        <v>0</v>
      </c>
      <c r="F933" s="564"/>
      <c r="G933" s="581">
        <v>0</v>
      </c>
      <c r="H933" s="581"/>
      <c r="I933" s="639" t="e">
        <f>F933/C933</f>
        <v>#DIV/0!</v>
      </c>
      <c r="J933" s="567"/>
      <c r="K933" s="746"/>
    </row>
    <row r="934" spans="1:11" x14ac:dyDescent="0.25">
      <c r="A934" s="575"/>
      <c r="B934" s="561" t="s">
        <v>373</v>
      </c>
      <c r="C934" s="565">
        <f>SUM(C932:C933)</f>
        <v>171864</v>
      </c>
      <c r="D934" s="566">
        <f t="shared" ref="D934:H934" si="109">SUM(D932:D933)</f>
        <v>171864</v>
      </c>
      <c r="E934" s="566">
        <f>SUM(E932:E933)</f>
        <v>171864</v>
      </c>
      <c r="F934" s="565">
        <f t="shared" si="109"/>
        <v>0</v>
      </c>
      <c r="G934" s="566">
        <f>SUM(G932:G933)</f>
        <v>171864</v>
      </c>
      <c r="H934" s="566">
        <f t="shared" si="109"/>
        <v>0</v>
      </c>
      <c r="I934" s="639">
        <f>F934/C934</f>
        <v>0</v>
      </c>
      <c r="J934" s="567"/>
      <c r="K934" s="568"/>
    </row>
    <row r="935" spans="1:11" s="569" customFormat="1" x14ac:dyDescent="0.25">
      <c r="A935" s="575"/>
      <c r="B935" s="576"/>
      <c r="C935" s="564"/>
      <c r="D935" s="581"/>
      <c r="E935" s="601"/>
      <c r="F935" s="564"/>
      <c r="G935" s="581"/>
      <c r="H935" s="581"/>
      <c r="I935" s="581"/>
      <c r="J935" s="567"/>
      <c r="K935" s="568"/>
    </row>
    <row r="936" spans="1:11" x14ac:dyDescent="0.25">
      <c r="A936" s="575"/>
      <c r="B936" s="576" t="s">
        <v>461</v>
      </c>
      <c r="C936" s="630">
        <v>2017</v>
      </c>
      <c r="D936" s="629" t="s">
        <v>1236</v>
      </c>
      <c r="E936" s="629">
        <v>2018</v>
      </c>
      <c r="F936" s="630" t="s">
        <v>1236</v>
      </c>
      <c r="G936" s="631" t="s">
        <v>4</v>
      </c>
      <c r="H936" s="631">
        <v>2019</v>
      </c>
      <c r="I936" s="627" t="s">
        <v>341</v>
      </c>
      <c r="J936" s="567"/>
      <c r="K936" s="567"/>
    </row>
    <row r="937" spans="1:11" x14ac:dyDescent="0.25">
      <c r="A937" s="575"/>
      <c r="B937" s="576"/>
      <c r="C937" s="630" t="s">
        <v>6</v>
      </c>
      <c r="D937" s="634">
        <v>43069</v>
      </c>
      <c r="E937" s="629" t="s">
        <v>6</v>
      </c>
      <c r="F937" s="634">
        <v>43131</v>
      </c>
      <c r="G937" s="635" t="s">
        <v>1131</v>
      </c>
      <c r="H937" s="635" t="s">
        <v>6</v>
      </c>
      <c r="I937" s="627" t="s">
        <v>92</v>
      </c>
      <c r="J937" s="567"/>
      <c r="K937" s="567"/>
    </row>
    <row r="938" spans="1:11" x14ac:dyDescent="0.25">
      <c r="A938" s="575">
        <v>59650</v>
      </c>
      <c r="B938" s="576" t="s">
        <v>462</v>
      </c>
      <c r="C938" s="610"/>
      <c r="D938" s="581"/>
      <c r="E938" s="581"/>
      <c r="F938" s="564"/>
      <c r="G938" s="581"/>
      <c r="H938" s="581"/>
      <c r="I938" s="581"/>
      <c r="J938" s="567"/>
      <c r="K938" s="567"/>
    </row>
    <row r="939" spans="1:11" x14ac:dyDescent="0.25">
      <c r="A939" s="575"/>
      <c r="B939" s="561" t="s">
        <v>449</v>
      </c>
      <c r="C939" s="565">
        <f>C934</f>
        <v>171864</v>
      </c>
      <c r="D939" s="566">
        <f>D934</f>
        <v>171864</v>
      </c>
      <c r="E939" s="566">
        <f>E934</f>
        <v>171864</v>
      </c>
      <c r="F939" s="566"/>
      <c r="G939" s="566">
        <v>171864</v>
      </c>
      <c r="H939" s="566">
        <f>H934</f>
        <v>0</v>
      </c>
      <c r="I939" s="639">
        <f t="shared" ref="I939:I945" si="110">F939/C939</f>
        <v>0</v>
      </c>
      <c r="J939" s="567"/>
      <c r="K939" s="567"/>
    </row>
    <row r="940" spans="1:11" x14ac:dyDescent="0.25">
      <c r="A940" s="575"/>
      <c r="B940" s="561" t="s">
        <v>116</v>
      </c>
      <c r="C940" s="564">
        <v>0.01</v>
      </c>
      <c r="D940" s="581">
        <v>0</v>
      </c>
      <c r="E940" s="581">
        <v>0.01</v>
      </c>
      <c r="F940" s="581">
        <v>0</v>
      </c>
      <c r="G940" s="581">
        <v>0</v>
      </c>
      <c r="H940" s="581">
        <v>0</v>
      </c>
      <c r="I940" s="639">
        <f t="shared" si="110"/>
        <v>0</v>
      </c>
      <c r="J940" s="567"/>
      <c r="K940" s="747"/>
    </row>
    <row r="941" spans="1:11" x14ac:dyDescent="0.25">
      <c r="A941" s="575"/>
      <c r="B941" s="561" t="s">
        <v>463</v>
      </c>
      <c r="C941" s="674">
        <f>C939-C940</f>
        <v>171863.99</v>
      </c>
      <c r="D941" s="563">
        <f t="shared" ref="D941:H941" si="111">D939-D940</f>
        <v>171864</v>
      </c>
      <c r="E941" s="563">
        <f>E939-E940</f>
        <v>171863.99</v>
      </c>
      <c r="F941" s="563">
        <f t="shared" ref="F941" si="112">F939-F940</f>
        <v>0</v>
      </c>
      <c r="G941" s="563">
        <f>G939-G940</f>
        <v>171864</v>
      </c>
      <c r="H941" s="563">
        <f t="shared" si="111"/>
        <v>0</v>
      </c>
      <c r="I941" s="639">
        <f t="shared" si="110"/>
        <v>0</v>
      </c>
      <c r="J941" s="567"/>
      <c r="K941" s="567"/>
    </row>
    <row r="942" spans="1:11" x14ac:dyDescent="0.25">
      <c r="A942" s="575"/>
      <c r="B942" s="561" t="s">
        <v>451</v>
      </c>
      <c r="C942" s="674">
        <f>C941</f>
        <v>171863.99</v>
      </c>
      <c r="D942" s="563">
        <f t="shared" ref="D942:H942" si="113">D941</f>
        <v>171864</v>
      </c>
      <c r="E942" s="563">
        <f>E941</f>
        <v>171863.99</v>
      </c>
      <c r="F942" s="563">
        <f t="shared" ref="F942" si="114">F941</f>
        <v>0</v>
      </c>
      <c r="G942" s="563">
        <f>G941</f>
        <v>171864</v>
      </c>
      <c r="H942" s="563">
        <f t="shared" si="113"/>
        <v>0</v>
      </c>
      <c r="I942" s="639">
        <f t="shared" si="110"/>
        <v>0</v>
      </c>
      <c r="J942" s="567"/>
      <c r="K942" s="568"/>
    </row>
    <row r="943" spans="1:11" x14ac:dyDescent="0.25">
      <c r="A943" s="590"/>
      <c r="B943" s="580" t="s">
        <v>464</v>
      </c>
      <c r="C943" s="564">
        <v>0.01</v>
      </c>
      <c r="D943" s="581">
        <v>0.01</v>
      </c>
      <c r="E943" s="581">
        <v>0.01</v>
      </c>
      <c r="F943" s="581">
        <v>0.01</v>
      </c>
      <c r="G943" s="581">
        <v>0.01</v>
      </c>
      <c r="H943" s="581">
        <v>0.01</v>
      </c>
      <c r="I943" s="639">
        <f t="shared" si="110"/>
        <v>1</v>
      </c>
      <c r="J943" s="567"/>
      <c r="K943" s="568"/>
    </row>
    <row r="944" spans="1:11" x14ac:dyDescent="0.25">
      <c r="A944" s="590"/>
      <c r="B944" s="561" t="s">
        <v>1240</v>
      </c>
      <c r="C944" s="564">
        <v>0.01</v>
      </c>
      <c r="D944" s="581">
        <v>0.01</v>
      </c>
      <c r="E944" s="581">
        <v>0.01</v>
      </c>
      <c r="F944" s="581">
        <v>0.01</v>
      </c>
      <c r="G944" s="581">
        <v>0.01</v>
      </c>
      <c r="H944" s="581">
        <v>0.01</v>
      </c>
      <c r="I944" s="639">
        <f t="shared" si="110"/>
        <v>1</v>
      </c>
      <c r="J944" s="567"/>
      <c r="K944" s="568"/>
    </row>
    <row r="945" spans="1:11" x14ac:dyDescent="0.25">
      <c r="A945" s="560"/>
      <c r="B945" s="561" t="s">
        <v>465</v>
      </c>
      <c r="C945" s="565">
        <f>C942-C943-C944</f>
        <v>171863.96999999997</v>
      </c>
      <c r="D945" s="579">
        <f t="shared" ref="D945" si="115">D942-D943-D944</f>
        <v>171863.97999999998</v>
      </c>
      <c r="E945" s="579">
        <f>E942-E943-E944</f>
        <v>171863.96999999997</v>
      </c>
      <c r="F945" s="579">
        <f t="shared" ref="F945" si="116">F942-F943-F944</f>
        <v>-0.02</v>
      </c>
      <c r="G945" s="579">
        <f>G942-G943-G944</f>
        <v>171863.97999999998</v>
      </c>
      <c r="H945" s="579">
        <f>H942-H943-H944</f>
        <v>-0.02</v>
      </c>
      <c r="I945" s="639">
        <f t="shared" si="110"/>
        <v>-1.1637110442636699E-7</v>
      </c>
      <c r="J945" s="567"/>
      <c r="K945" s="568"/>
    </row>
    <row r="946" spans="1:11" s="569" customFormat="1" ht="17.25" customHeight="1" x14ac:dyDescent="0.25">
      <c r="A946" s="590"/>
      <c r="B946" s="576"/>
      <c r="C946" s="564"/>
      <c r="D946" s="576"/>
      <c r="E946" s="601"/>
      <c r="F946" s="564"/>
      <c r="G946" s="581"/>
      <c r="H946" s="581"/>
      <c r="I946" s="581"/>
      <c r="J946" s="567"/>
      <c r="K946" s="568"/>
    </row>
    <row r="947" spans="1:11" x14ac:dyDescent="0.25">
      <c r="A947" s="686">
        <v>110</v>
      </c>
      <c r="B947" s="628" t="s">
        <v>466</v>
      </c>
      <c r="C947" s="630">
        <v>2017</v>
      </c>
      <c r="D947" s="629" t="s">
        <v>1236</v>
      </c>
      <c r="E947" s="629">
        <v>2018</v>
      </c>
      <c r="F947" s="630" t="s">
        <v>1236</v>
      </c>
      <c r="G947" s="631" t="s">
        <v>4</v>
      </c>
      <c r="H947" s="631">
        <v>2019</v>
      </c>
      <c r="I947" s="627" t="s">
        <v>341</v>
      </c>
      <c r="J947" s="567"/>
      <c r="K947" s="568"/>
    </row>
    <row r="948" spans="1:11" x14ac:dyDescent="0.25">
      <c r="A948" s="590"/>
      <c r="B948" s="561"/>
      <c r="C948" s="630" t="s">
        <v>6</v>
      </c>
      <c r="D948" s="634">
        <v>43069</v>
      </c>
      <c r="E948" s="629" t="s">
        <v>6</v>
      </c>
      <c r="F948" s="634">
        <v>43131</v>
      </c>
      <c r="G948" s="635" t="s">
        <v>1131</v>
      </c>
      <c r="H948" s="635" t="s">
        <v>6</v>
      </c>
      <c r="I948" s="627" t="s">
        <v>7</v>
      </c>
      <c r="J948" s="567"/>
      <c r="K948" s="568"/>
    </row>
    <row r="949" spans="1:11" x14ac:dyDescent="0.25">
      <c r="A949" s="590"/>
      <c r="B949" s="576" t="s">
        <v>93</v>
      </c>
      <c r="C949" s="578"/>
      <c r="D949" s="593"/>
      <c r="E949" s="593"/>
      <c r="F949" s="564"/>
      <c r="G949" s="581"/>
      <c r="H949" s="581"/>
      <c r="I949" s="581"/>
      <c r="J949" s="567"/>
      <c r="K949" s="568"/>
    </row>
    <row r="950" spans="1:11" x14ac:dyDescent="0.25">
      <c r="A950" s="561" t="s">
        <v>1278</v>
      </c>
      <c r="B950" s="576"/>
      <c r="C950" s="566">
        <f>D1009</f>
        <v>21638.649999999994</v>
      </c>
      <c r="D950" s="566">
        <v>34503</v>
      </c>
      <c r="E950" s="956">
        <v>46680</v>
      </c>
      <c r="F950" s="566"/>
      <c r="G950" s="566">
        <f>E950+E1004-E1005</f>
        <v>46742.49099999998</v>
      </c>
      <c r="H950" s="566">
        <f>G1009</f>
        <v>46804.99099999998</v>
      </c>
      <c r="I950" s="581"/>
      <c r="J950" s="567"/>
      <c r="K950" s="568"/>
    </row>
    <row r="951" spans="1:11" x14ac:dyDescent="0.25">
      <c r="A951" s="590"/>
      <c r="B951" s="576"/>
      <c r="C951" s="581"/>
      <c r="D951" s="581"/>
      <c r="E951" s="901"/>
      <c r="F951" s="581"/>
      <c r="G951" s="581"/>
      <c r="H951" s="581"/>
      <c r="I951" s="581"/>
      <c r="J951" s="567"/>
      <c r="K951" s="568"/>
    </row>
    <row r="952" spans="1:11" x14ac:dyDescent="0.25">
      <c r="A952" s="560" t="s">
        <v>467</v>
      </c>
      <c r="B952" s="561" t="s">
        <v>468</v>
      </c>
      <c r="C952" s="581"/>
      <c r="D952" s="581"/>
      <c r="E952" s="901"/>
      <c r="F952" s="581"/>
      <c r="G952" s="581"/>
      <c r="H952" s="581"/>
      <c r="I952" s="581"/>
      <c r="J952" s="567"/>
      <c r="K952" s="568"/>
    </row>
    <row r="953" spans="1:11" x14ac:dyDescent="0.25">
      <c r="A953" s="575">
        <v>32330</v>
      </c>
      <c r="B953" s="576" t="s">
        <v>469</v>
      </c>
      <c r="C953" s="562">
        <v>1290</v>
      </c>
      <c r="D953" s="581">
        <v>2161.85</v>
      </c>
      <c r="E953" s="901">
        <v>1300</v>
      </c>
      <c r="F953" s="581"/>
      <c r="G953" s="581">
        <v>1300</v>
      </c>
      <c r="H953" s="581"/>
      <c r="I953" s="639">
        <f t="shared" ref="I953:I958" si="117">F953/C953</f>
        <v>0</v>
      </c>
      <c r="J953" s="567"/>
      <c r="K953" s="568"/>
    </row>
    <row r="954" spans="1:11" x14ac:dyDescent="0.25">
      <c r="A954" s="575">
        <v>32700</v>
      </c>
      <c r="B954" s="576" t="s">
        <v>470</v>
      </c>
      <c r="C954" s="562">
        <v>0</v>
      </c>
      <c r="D954" s="581">
        <v>0</v>
      </c>
      <c r="E954" s="901">
        <v>0</v>
      </c>
      <c r="F954" s="581"/>
      <c r="G954" s="581">
        <v>0</v>
      </c>
      <c r="H954" s="581"/>
      <c r="I954" s="639" t="e">
        <f t="shared" si="117"/>
        <v>#DIV/0!</v>
      </c>
      <c r="J954" s="567"/>
      <c r="K954" s="568"/>
    </row>
    <row r="955" spans="1:11" x14ac:dyDescent="0.25">
      <c r="A955" s="575">
        <v>34300</v>
      </c>
      <c r="B955" s="576" t="s">
        <v>471</v>
      </c>
      <c r="C955" s="562">
        <v>120000</v>
      </c>
      <c r="D955" s="581">
        <v>122820.65</v>
      </c>
      <c r="E955" s="907">
        <v>135000</v>
      </c>
      <c r="F955" s="581"/>
      <c r="G955" s="581">
        <v>135000</v>
      </c>
      <c r="H955" s="581"/>
      <c r="I955" s="639">
        <f t="shared" si="117"/>
        <v>0</v>
      </c>
      <c r="J955" s="567"/>
      <c r="K955" s="568"/>
    </row>
    <row r="956" spans="1:11" x14ac:dyDescent="0.25">
      <c r="A956" s="575">
        <v>34230</v>
      </c>
      <c r="B956" s="576" t="s">
        <v>472</v>
      </c>
      <c r="C956" s="562">
        <v>400</v>
      </c>
      <c r="D956" s="581">
        <v>200</v>
      </c>
      <c r="E956" s="901">
        <v>400</v>
      </c>
      <c r="F956" s="581"/>
      <c r="G956" s="581">
        <v>400</v>
      </c>
      <c r="H956" s="581"/>
      <c r="I956" s="639">
        <f t="shared" si="117"/>
        <v>0</v>
      </c>
      <c r="J956" s="567"/>
      <c r="K956" s="568"/>
    </row>
    <row r="957" spans="1:11" x14ac:dyDescent="0.25">
      <c r="A957" s="575">
        <v>34360</v>
      </c>
      <c r="B957" s="576" t="s">
        <v>473</v>
      </c>
      <c r="C957" s="562">
        <v>2500</v>
      </c>
      <c r="D957" s="581">
        <v>0</v>
      </c>
      <c r="E957" s="901">
        <v>2500</v>
      </c>
      <c r="F957" s="581"/>
      <c r="G957" s="581">
        <v>2500</v>
      </c>
      <c r="H957" s="581"/>
      <c r="I957" s="639">
        <f t="shared" si="117"/>
        <v>0</v>
      </c>
      <c r="J957" s="567"/>
      <c r="K957" s="568"/>
    </row>
    <row r="958" spans="1:11" x14ac:dyDescent="0.25">
      <c r="A958" s="575"/>
      <c r="B958" s="583" t="s">
        <v>242</v>
      </c>
      <c r="C958" s="587">
        <f>SUM(C953:C957)</f>
        <v>124190</v>
      </c>
      <c r="D958" s="587">
        <f t="shared" ref="D958:H958" si="118">SUM(D953:D957)</f>
        <v>125182.5</v>
      </c>
      <c r="E958" s="953">
        <f>SUM(E953:E957)</f>
        <v>139200</v>
      </c>
      <c r="F958" s="587">
        <f t="shared" si="118"/>
        <v>0</v>
      </c>
      <c r="G958" s="587">
        <f>SUM(G953:G957)</f>
        <v>139200</v>
      </c>
      <c r="H958" s="587">
        <f t="shared" si="118"/>
        <v>0</v>
      </c>
      <c r="I958" s="639">
        <f t="shared" si="117"/>
        <v>0</v>
      </c>
      <c r="J958" s="567"/>
      <c r="K958" s="568"/>
    </row>
    <row r="959" spans="1:11" x14ac:dyDescent="0.25">
      <c r="A959" s="575"/>
      <c r="B959" s="576"/>
      <c r="C959" s="564"/>
      <c r="D959" s="581"/>
      <c r="E959" s="901"/>
      <c r="F959" s="564"/>
      <c r="G959" s="581"/>
      <c r="H959" s="581"/>
      <c r="I959" s="581"/>
      <c r="J959" s="567"/>
      <c r="K959" s="568"/>
    </row>
    <row r="960" spans="1:11" x14ac:dyDescent="0.25">
      <c r="A960" s="575"/>
      <c r="B960" s="561" t="s">
        <v>474</v>
      </c>
      <c r="C960" s="564"/>
      <c r="D960" s="581"/>
      <c r="E960" s="901"/>
      <c r="F960" s="564"/>
      <c r="G960" s="581"/>
      <c r="H960" s="581"/>
      <c r="I960" s="581"/>
      <c r="J960" s="567"/>
      <c r="K960" s="568"/>
    </row>
    <row r="961" spans="1:11" x14ac:dyDescent="0.25">
      <c r="A961" s="575"/>
      <c r="B961" s="576" t="s">
        <v>370</v>
      </c>
      <c r="C961" s="581">
        <v>12000</v>
      </c>
      <c r="D961" s="581">
        <v>12000</v>
      </c>
      <c r="E961" s="901"/>
      <c r="F961" s="581"/>
      <c r="G961" s="581"/>
      <c r="H961" s="581"/>
      <c r="I961" s="639">
        <f>F961/C961</f>
        <v>0</v>
      </c>
      <c r="J961" s="567"/>
      <c r="K961" s="568"/>
    </row>
    <row r="962" spans="1:11" x14ac:dyDescent="0.25">
      <c r="A962" s="575">
        <v>38102</v>
      </c>
      <c r="B962" s="576" t="s">
        <v>531</v>
      </c>
      <c r="C962" s="581"/>
      <c r="D962" s="581">
        <v>0</v>
      </c>
      <c r="E962" s="901">
        <v>1E-3</v>
      </c>
      <c r="F962" s="581"/>
      <c r="G962" s="581">
        <v>0</v>
      </c>
      <c r="H962" s="581"/>
      <c r="I962" s="639" t="e">
        <f>F962/C962</f>
        <v>#DIV/0!</v>
      </c>
      <c r="J962" s="567"/>
      <c r="K962" s="568"/>
    </row>
    <row r="963" spans="1:11" x14ac:dyDescent="0.25">
      <c r="A963" s="575"/>
      <c r="B963" s="583" t="s">
        <v>242</v>
      </c>
      <c r="C963" s="587">
        <f>SUM(C961:C962)</f>
        <v>12000</v>
      </c>
      <c r="D963" s="587">
        <v>0</v>
      </c>
      <c r="E963" s="953">
        <f>SUM(E961:E962)</f>
        <v>1E-3</v>
      </c>
      <c r="F963" s="587">
        <f t="shared" ref="F963:H963" si="119">SUM(F961:F962)</f>
        <v>0</v>
      </c>
      <c r="G963" s="587">
        <f>SUM(G961:G962)</f>
        <v>0</v>
      </c>
      <c r="H963" s="587">
        <f t="shared" si="119"/>
        <v>0</v>
      </c>
      <c r="I963" s="639">
        <f>F963/C963</f>
        <v>0</v>
      </c>
      <c r="J963" s="567"/>
      <c r="K963" s="568"/>
    </row>
    <row r="964" spans="1:11" x14ac:dyDescent="0.25">
      <c r="A964" s="575"/>
      <c r="B964" s="583"/>
      <c r="C964" s="581"/>
      <c r="D964" s="581"/>
      <c r="E964" s="901"/>
      <c r="F964" s="581"/>
      <c r="G964" s="581"/>
      <c r="H964" s="581"/>
      <c r="I964" s="581"/>
      <c r="J964" s="567"/>
      <c r="K964" s="568"/>
    </row>
    <row r="965" spans="1:11" x14ac:dyDescent="0.25">
      <c r="A965" s="575"/>
      <c r="B965" s="561" t="s">
        <v>373</v>
      </c>
      <c r="C965" s="563">
        <f>C958+C963</f>
        <v>136190</v>
      </c>
      <c r="D965" s="563">
        <f t="shared" ref="D965:H965" si="120">D958+D963</f>
        <v>125182.5</v>
      </c>
      <c r="E965" s="954">
        <f>E958+E963</f>
        <v>139200.00099999999</v>
      </c>
      <c r="F965" s="563">
        <f t="shared" si="120"/>
        <v>0</v>
      </c>
      <c r="G965" s="563">
        <f>G958+G963</f>
        <v>139200</v>
      </c>
      <c r="H965" s="563">
        <f t="shared" si="120"/>
        <v>0</v>
      </c>
      <c r="I965" s="639">
        <f>F965/C965</f>
        <v>0</v>
      </c>
      <c r="J965" s="567"/>
      <c r="K965" s="568"/>
    </row>
    <row r="966" spans="1:11" s="569" customFormat="1" x14ac:dyDescent="0.25">
      <c r="A966" s="575"/>
      <c r="B966" s="561"/>
      <c r="C966" s="564"/>
      <c r="D966" s="581"/>
      <c r="E966" s="901"/>
      <c r="F966" s="564"/>
      <c r="G966" s="581"/>
      <c r="H966" s="581"/>
      <c r="I966" s="581"/>
      <c r="J966" s="567"/>
      <c r="K966" s="568"/>
    </row>
    <row r="967" spans="1:11" x14ac:dyDescent="0.25">
      <c r="A967" s="764" t="s">
        <v>475</v>
      </c>
      <c r="B967" s="688" t="s">
        <v>476</v>
      </c>
      <c r="C967" s="630">
        <v>2017</v>
      </c>
      <c r="D967" s="629" t="s">
        <v>1236</v>
      </c>
      <c r="E967" s="629">
        <v>2018</v>
      </c>
      <c r="F967" s="630" t="s">
        <v>1236</v>
      </c>
      <c r="G967" s="631" t="s">
        <v>4</v>
      </c>
      <c r="H967" s="631">
        <v>2019</v>
      </c>
      <c r="I967" s="627" t="s">
        <v>5</v>
      </c>
      <c r="J967" s="567"/>
      <c r="K967" s="568"/>
    </row>
    <row r="968" spans="1:11" x14ac:dyDescent="0.25">
      <c r="A968" s="575"/>
      <c r="B968" s="576"/>
      <c r="C968" s="630" t="s">
        <v>6</v>
      </c>
      <c r="D968" s="634">
        <v>43069</v>
      </c>
      <c r="E968" s="629" t="s">
        <v>6</v>
      </c>
      <c r="F968" s="634">
        <v>43131</v>
      </c>
      <c r="G968" s="635" t="s">
        <v>1131</v>
      </c>
      <c r="H968" s="635" t="s">
        <v>6</v>
      </c>
      <c r="I968" s="627" t="s">
        <v>92</v>
      </c>
      <c r="J968" s="567"/>
      <c r="K968" s="568"/>
    </row>
    <row r="969" spans="1:11" x14ac:dyDescent="0.25">
      <c r="A969" s="575">
        <v>40110</v>
      </c>
      <c r="B969" s="576" t="s">
        <v>477</v>
      </c>
      <c r="C969" s="562">
        <v>25198</v>
      </c>
      <c r="D969" s="581">
        <f>22285.99</f>
        <v>22285.99</v>
      </c>
      <c r="E969" s="901">
        <v>25000</v>
      </c>
      <c r="F969" s="581"/>
      <c r="G969" s="581">
        <v>25000</v>
      </c>
      <c r="H969" s="581"/>
      <c r="I969" s="639">
        <f t="shared" ref="I969:I993" si="121">F969/C969</f>
        <v>0</v>
      </c>
      <c r="J969" s="567"/>
      <c r="K969" s="568"/>
    </row>
    <row r="970" spans="1:11" x14ac:dyDescent="0.25">
      <c r="A970" s="575">
        <v>41410</v>
      </c>
      <c r="B970" s="576" t="s">
        <v>478</v>
      </c>
      <c r="C970" s="562">
        <v>73</v>
      </c>
      <c r="D970" s="581">
        <v>66.25</v>
      </c>
      <c r="E970" s="901">
        <f>25000*0.003</f>
        <v>75</v>
      </c>
      <c r="F970" s="581"/>
      <c r="G970" s="581">
        <v>75</v>
      </c>
      <c r="H970" s="581"/>
      <c r="I970" s="639">
        <f t="shared" si="121"/>
        <v>0</v>
      </c>
      <c r="J970" s="567"/>
      <c r="K970" s="568"/>
    </row>
    <row r="971" spans="1:11" x14ac:dyDescent="0.25">
      <c r="A971" s="575">
        <v>41420</v>
      </c>
      <c r="B971" s="576" t="s">
        <v>479</v>
      </c>
      <c r="C971" s="562">
        <v>1729</v>
      </c>
      <c r="D971" s="581">
        <v>1729</v>
      </c>
      <c r="E971" s="901">
        <v>2050</v>
      </c>
      <c r="F971" s="581"/>
      <c r="G971" s="581">
        <v>2050</v>
      </c>
      <c r="H971" s="581"/>
      <c r="I971" s="639">
        <f t="shared" si="121"/>
        <v>0</v>
      </c>
      <c r="J971" s="567"/>
      <c r="K971" s="568"/>
    </row>
    <row r="972" spans="1:11" x14ac:dyDescent="0.25">
      <c r="A972" s="575">
        <v>41440</v>
      </c>
      <c r="B972" s="576" t="s">
        <v>100</v>
      </c>
      <c r="C972" s="562">
        <v>1562</v>
      </c>
      <c r="D972" s="581">
        <v>1367.85</v>
      </c>
      <c r="E972" s="901">
        <f>25000*6.2%</f>
        <v>1550</v>
      </c>
      <c r="F972" s="581"/>
      <c r="G972" s="901">
        <f>25000*6.2%</f>
        <v>1550</v>
      </c>
      <c r="H972" s="581"/>
      <c r="I972" s="639">
        <f t="shared" si="121"/>
        <v>0</v>
      </c>
      <c r="J972" s="567"/>
      <c r="K972" s="568"/>
    </row>
    <row r="973" spans="1:11" x14ac:dyDescent="0.25">
      <c r="A973" s="575">
        <v>41450</v>
      </c>
      <c r="B973" s="576" t="s">
        <v>101</v>
      </c>
      <c r="C973" s="562">
        <v>365</v>
      </c>
      <c r="D973" s="581">
        <v>319.89999999999998</v>
      </c>
      <c r="E973" s="901">
        <f>25000*1.45%</f>
        <v>362.5</v>
      </c>
      <c r="F973" s="581"/>
      <c r="G973" s="901">
        <f>25000*1.45%</f>
        <v>362.5</v>
      </c>
      <c r="H973" s="581"/>
      <c r="I973" s="639">
        <f t="shared" si="121"/>
        <v>0</v>
      </c>
      <c r="J973" s="567"/>
      <c r="K973" s="568"/>
    </row>
    <row r="974" spans="1:11" x14ac:dyDescent="0.25">
      <c r="A974" s="575">
        <v>51330</v>
      </c>
      <c r="B974" s="576" t="s">
        <v>480</v>
      </c>
      <c r="C974" s="562">
        <v>300</v>
      </c>
      <c r="D974" s="581">
        <v>115</v>
      </c>
      <c r="E974" s="901">
        <v>200</v>
      </c>
      <c r="F974" s="581"/>
      <c r="G974" s="581">
        <v>200</v>
      </c>
      <c r="H974" s="581"/>
      <c r="I974" s="639">
        <f t="shared" si="121"/>
        <v>0</v>
      </c>
      <c r="J974" s="567"/>
      <c r="K974" s="568"/>
    </row>
    <row r="975" spans="1:11" x14ac:dyDescent="0.25">
      <c r="A975" s="575">
        <v>53342</v>
      </c>
      <c r="B975" s="576" t="s">
        <v>402</v>
      </c>
      <c r="C975" s="562">
        <v>100</v>
      </c>
      <c r="D975" s="581">
        <v>0</v>
      </c>
      <c r="E975" s="901">
        <v>100</v>
      </c>
      <c r="F975" s="581"/>
      <c r="G975" s="581">
        <v>100</v>
      </c>
      <c r="H975" s="581"/>
      <c r="I975" s="639">
        <f t="shared" si="121"/>
        <v>0</v>
      </c>
      <c r="J975" s="567"/>
      <c r="K975" s="568"/>
    </row>
    <row r="976" spans="1:11" x14ac:dyDescent="0.25">
      <c r="A976" s="575">
        <v>53550</v>
      </c>
      <c r="B976" s="576" t="s">
        <v>287</v>
      </c>
      <c r="C976" s="562">
        <v>1000</v>
      </c>
      <c r="D976" s="581">
        <v>1277.31</v>
      </c>
      <c r="E976" s="901">
        <v>1200</v>
      </c>
      <c r="F976" s="581"/>
      <c r="G976" s="581">
        <v>1200</v>
      </c>
      <c r="H976" s="581"/>
      <c r="I976" s="639">
        <f t="shared" si="121"/>
        <v>0</v>
      </c>
      <c r="J976" s="567"/>
      <c r="K976" s="568"/>
    </row>
    <row r="977" spans="1:11" x14ac:dyDescent="0.25">
      <c r="A977" s="575">
        <v>54110</v>
      </c>
      <c r="B977" s="576" t="s">
        <v>103</v>
      </c>
      <c r="C977" s="562">
        <v>300</v>
      </c>
      <c r="D977" s="581">
        <v>147.44</v>
      </c>
      <c r="E977" s="901">
        <v>200</v>
      </c>
      <c r="F977" s="581"/>
      <c r="G977" s="581">
        <v>200</v>
      </c>
      <c r="H977" s="581"/>
      <c r="I977" s="639">
        <f t="shared" si="121"/>
        <v>0</v>
      </c>
      <c r="J977" s="567"/>
      <c r="K977" s="568"/>
    </row>
    <row r="978" spans="1:11" x14ac:dyDescent="0.25">
      <c r="A978" s="575">
        <v>60000</v>
      </c>
      <c r="B978" s="576" t="s">
        <v>481</v>
      </c>
      <c r="C978" s="562">
        <v>300</v>
      </c>
      <c r="D978" s="581">
        <v>136</v>
      </c>
      <c r="E978" s="901">
        <v>200</v>
      </c>
      <c r="F978" s="581"/>
      <c r="G978" s="581">
        <v>200</v>
      </c>
      <c r="H978" s="581"/>
      <c r="I978" s="639">
        <f t="shared" si="121"/>
        <v>0</v>
      </c>
      <c r="J978" s="567"/>
      <c r="K978" s="568"/>
    </row>
    <row r="979" spans="1:11" x14ac:dyDescent="0.25">
      <c r="A979" s="575">
        <v>63000</v>
      </c>
      <c r="B979" s="576" t="s">
        <v>142</v>
      </c>
      <c r="C979" s="562">
        <v>300</v>
      </c>
      <c r="D979" s="581">
        <v>0</v>
      </c>
      <c r="E979" s="901">
        <v>0</v>
      </c>
      <c r="F979" s="581"/>
      <c r="G979" s="581">
        <v>0</v>
      </c>
      <c r="H979" s="581"/>
      <c r="I979" s="639">
        <f t="shared" si="121"/>
        <v>0</v>
      </c>
      <c r="J979" s="567"/>
      <c r="K979" s="568"/>
    </row>
    <row r="980" spans="1:11" x14ac:dyDescent="0.25">
      <c r="A980" s="575">
        <v>63900</v>
      </c>
      <c r="B980" s="576" t="s">
        <v>482</v>
      </c>
      <c r="C980" s="562">
        <v>1200</v>
      </c>
      <c r="D980" s="581">
        <v>0</v>
      </c>
      <c r="E980" s="901">
        <v>500</v>
      </c>
      <c r="F980" s="581"/>
      <c r="G980" s="581">
        <v>500</v>
      </c>
      <c r="H980" s="581"/>
      <c r="I980" s="639">
        <f t="shared" si="121"/>
        <v>0</v>
      </c>
      <c r="J980" s="567"/>
      <c r="K980" s="568"/>
    </row>
    <row r="981" spans="1:11" x14ac:dyDescent="0.25">
      <c r="A981" s="575">
        <v>64120</v>
      </c>
      <c r="B981" s="576" t="s">
        <v>390</v>
      </c>
      <c r="C981" s="562">
        <v>1000</v>
      </c>
      <c r="D981" s="581">
        <v>382.48</v>
      </c>
      <c r="E981" s="901">
        <v>750</v>
      </c>
      <c r="F981" s="581"/>
      <c r="G981" s="581">
        <v>750</v>
      </c>
      <c r="H981" s="581"/>
      <c r="I981" s="639">
        <f t="shared" si="121"/>
        <v>0</v>
      </c>
      <c r="J981" s="567"/>
      <c r="K981" s="568"/>
    </row>
    <row r="982" spans="1:11" x14ac:dyDescent="0.25">
      <c r="A982" s="575">
        <v>64600</v>
      </c>
      <c r="B982" s="576" t="s">
        <v>1168</v>
      </c>
      <c r="C982" s="562">
        <v>12500</v>
      </c>
      <c r="D982" s="581">
        <v>5868.46</v>
      </c>
      <c r="E982" s="901">
        <v>6000</v>
      </c>
      <c r="F982" s="581"/>
      <c r="G982" s="581">
        <v>6000</v>
      </c>
      <c r="H982" s="581"/>
      <c r="I982" s="639">
        <f t="shared" si="121"/>
        <v>0</v>
      </c>
      <c r="J982" s="567"/>
      <c r="K982" s="568"/>
    </row>
    <row r="983" spans="1:11" x14ac:dyDescent="0.25">
      <c r="A983" s="575">
        <v>65200</v>
      </c>
      <c r="B983" s="576" t="s">
        <v>150</v>
      </c>
      <c r="C983" s="562">
        <v>1550</v>
      </c>
      <c r="D983" s="581">
        <v>797.35</v>
      </c>
      <c r="E983" s="901">
        <v>900</v>
      </c>
      <c r="F983" s="581"/>
      <c r="G983" s="581">
        <v>900</v>
      </c>
      <c r="H983" s="581"/>
      <c r="I983" s="639">
        <f t="shared" si="121"/>
        <v>0</v>
      </c>
      <c r="J983" s="567"/>
      <c r="K983" s="568"/>
    </row>
    <row r="984" spans="1:11" x14ac:dyDescent="0.25">
      <c r="A984" s="575">
        <v>65400</v>
      </c>
      <c r="B984" s="576" t="s">
        <v>892</v>
      </c>
      <c r="C984" s="562">
        <v>338</v>
      </c>
      <c r="D984" s="581">
        <v>0</v>
      </c>
      <c r="E984" s="901">
        <v>500</v>
      </c>
      <c r="F984" s="581"/>
      <c r="G984" s="581">
        <v>500</v>
      </c>
      <c r="H984" s="581"/>
      <c r="I984" s="639">
        <f t="shared" si="121"/>
        <v>0</v>
      </c>
      <c r="J984" s="567"/>
      <c r="K984" s="568"/>
    </row>
    <row r="985" spans="1:11" x14ac:dyDescent="0.25">
      <c r="A985" s="575">
        <v>65500</v>
      </c>
      <c r="B985" s="576" t="s">
        <v>187</v>
      </c>
      <c r="C985" s="562">
        <v>0</v>
      </c>
      <c r="D985" s="581">
        <v>549.58000000000004</v>
      </c>
      <c r="E985" s="901">
        <v>1200</v>
      </c>
      <c r="F985" s="581"/>
      <c r="G985" s="581">
        <v>1200</v>
      </c>
      <c r="H985" s="581"/>
      <c r="I985" s="639" t="e">
        <f t="shared" si="121"/>
        <v>#DIV/0!</v>
      </c>
      <c r="J985" s="567"/>
      <c r="K985" s="568"/>
    </row>
    <row r="986" spans="1:11" x14ac:dyDescent="0.25">
      <c r="A986" s="575">
        <v>65711</v>
      </c>
      <c r="B986" s="576" t="s">
        <v>483</v>
      </c>
      <c r="C986" s="562">
        <v>2500</v>
      </c>
      <c r="D986" s="581">
        <v>4560.67</v>
      </c>
      <c r="E986" s="901">
        <v>4500</v>
      </c>
      <c r="F986" s="581"/>
      <c r="G986" s="581">
        <v>4500</v>
      </c>
      <c r="H986" s="581"/>
      <c r="I986" s="639">
        <f t="shared" si="121"/>
        <v>0</v>
      </c>
      <c r="J986" s="567"/>
      <c r="K986" s="568"/>
    </row>
    <row r="987" spans="1:11" x14ac:dyDescent="0.25">
      <c r="A987" s="575">
        <v>65712</v>
      </c>
      <c r="B987" s="576" t="s">
        <v>484</v>
      </c>
      <c r="C987" s="562">
        <v>10000</v>
      </c>
      <c r="D987" s="581">
        <v>17872</v>
      </c>
      <c r="E987" s="901">
        <v>15000</v>
      </c>
      <c r="F987" s="581"/>
      <c r="G987" s="581">
        <v>15000</v>
      </c>
      <c r="H987" s="581"/>
      <c r="I987" s="639">
        <f t="shared" si="121"/>
        <v>0</v>
      </c>
      <c r="J987" s="567"/>
      <c r="K987" s="568"/>
    </row>
    <row r="988" spans="1:11" x14ac:dyDescent="0.25">
      <c r="A988" s="575">
        <v>65713</v>
      </c>
      <c r="B988" s="576" t="s">
        <v>485</v>
      </c>
      <c r="C988" s="562">
        <v>28000</v>
      </c>
      <c r="D988" s="721">
        <v>32109.57</v>
      </c>
      <c r="E988" s="907">
        <v>32000</v>
      </c>
      <c r="F988" s="581"/>
      <c r="G988" s="581">
        <v>32000</v>
      </c>
      <c r="H988" s="581"/>
      <c r="I988" s="639">
        <f t="shared" si="121"/>
        <v>0</v>
      </c>
      <c r="J988" s="567"/>
      <c r="K988" s="568"/>
    </row>
    <row r="989" spans="1:11" x14ac:dyDescent="0.25">
      <c r="A989" s="575">
        <v>65714</v>
      </c>
      <c r="B989" s="576" t="s">
        <v>486</v>
      </c>
      <c r="C989" s="562">
        <v>29000</v>
      </c>
      <c r="D989" s="721">
        <v>47213</v>
      </c>
      <c r="E989" s="907">
        <v>45000</v>
      </c>
      <c r="F989" s="581"/>
      <c r="G989" s="581">
        <v>45000</v>
      </c>
      <c r="H989" s="581"/>
      <c r="I989" s="639">
        <f t="shared" si="121"/>
        <v>0</v>
      </c>
      <c r="J989" s="567"/>
      <c r="K989" s="568"/>
    </row>
    <row r="990" spans="1:11" x14ac:dyDescent="0.25">
      <c r="A990" s="575">
        <v>66100</v>
      </c>
      <c r="B990" s="576" t="s">
        <v>155</v>
      </c>
      <c r="C990" s="562">
        <v>1149</v>
      </c>
      <c r="D990" s="581">
        <v>1149</v>
      </c>
      <c r="E990" s="901">
        <v>1150</v>
      </c>
      <c r="F990" s="581"/>
      <c r="G990" s="581">
        <v>1150</v>
      </c>
      <c r="H990" s="581"/>
      <c r="I990" s="639">
        <f t="shared" si="121"/>
        <v>0</v>
      </c>
      <c r="J990" s="567"/>
      <c r="K990" s="568"/>
    </row>
    <row r="991" spans="1:11" x14ac:dyDescent="0.25">
      <c r="A991" s="575">
        <v>69610</v>
      </c>
      <c r="B991" s="576" t="s">
        <v>487</v>
      </c>
      <c r="C991" s="562">
        <v>100</v>
      </c>
      <c r="D991" s="581">
        <v>100</v>
      </c>
      <c r="E991" s="901">
        <v>100</v>
      </c>
      <c r="F991" s="581"/>
      <c r="G991" s="581">
        <v>100</v>
      </c>
      <c r="H991" s="581"/>
      <c r="I991" s="639">
        <f t="shared" si="121"/>
        <v>0</v>
      </c>
      <c r="J991" s="567"/>
      <c r="K991" s="568"/>
    </row>
    <row r="992" spans="1:11" x14ac:dyDescent="0.25">
      <c r="A992" s="575">
        <v>71000</v>
      </c>
      <c r="B992" s="576" t="s">
        <v>488</v>
      </c>
      <c r="C992" s="562">
        <v>0</v>
      </c>
      <c r="D992" s="581">
        <v>0</v>
      </c>
      <c r="E992" s="901">
        <v>600</v>
      </c>
      <c r="F992" s="581"/>
      <c r="G992" s="581">
        <v>600</v>
      </c>
      <c r="H992" s="581"/>
      <c r="I992" s="639" t="e">
        <f t="shared" si="121"/>
        <v>#DIV/0!</v>
      </c>
      <c r="J992" s="567"/>
      <c r="K992" s="568"/>
    </row>
    <row r="993" spans="1:11" x14ac:dyDescent="0.25">
      <c r="A993" s="560"/>
      <c r="B993" s="583" t="s">
        <v>489</v>
      </c>
      <c r="C993" s="563">
        <f t="shared" ref="C993:H993" si="122">SUM(C969:C992)</f>
        <v>118564</v>
      </c>
      <c r="D993" s="563">
        <f t="shared" si="122"/>
        <v>138046.85</v>
      </c>
      <c r="E993" s="954">
        <f t="shared" si="122"/>
        <v>139137.5</v>
      </c>
      <c r="F993" s="563">
        <f t="shared" si="122"/>
        <v>0</v>
      </c>
      <c r="G993" s="563">
        <f t="shared" si="122"/>
        <v>139137.5</v>
      </c>
      <c r="H993" s="563">
        <f t="shared" si="122"/>
        <v>0</v>
      </c>
      <c r="I993" s="639">
        <f t="shared" si="121"/>
        <v>0</v>
      </c>
      <c r="J993" s="567"/>
      <c r="K993" s="568"/>
    </row>
    <row r="994" spans="1:11" s="569" customFormat="1" x14ac:dyDescent="0.25">
      <c r="A994" s="575"/>
      <c r="B994" s="576"/>
      <c r="C994" s="564"/>
      <c r="D994" s="581"/>
      <c r="E994" s="581"/>
      <c r="F994" s="564"/>
      <c r="G994" s="581"/>
      <c r="H994" s="581"/>
      <c r="I994" s="581"/>
      <c r="J994" s="567"/>
      <c r="K994" s="568"/>
    </row>
    <row r="995" spans="1:11" x14ac:dyDescent="0.25">
      <c r="A995" s="686" t="s">
        <v>490</v>
      </c>
      <c r="B995" s="628" t="s">
        <v>323</v>
      </c>
      <c r="C995" s="630">
        <v>2017</v>
      </c>
      <c r="D995" s="629" t="s">
        <v>1236</v>
      </c>
      <c r="E995" s="629">
        <v>2018</v>
      </c>
      <c r="F995" s="630" t="s">
        <v>1236</v>
      </c>
      <c r="G995" s="631" t="s">
        <v>4</v>
      </c>
      <c r="H995" s="631">
        <v>2019</v>
      </c>
      <c r="I995" s="627" t="s">
        <v>5</v>
      </c>
      <c r="J995" s="567"/>
      <c r="K995" s="568"/>
    </row>
    <row r="996" spans="1:11" x14ac:dyDescent="0.25">
      <c r="A996" s="560"/>
      <c r="B996" s="561"/>
      <c r="C996" s="630" t="s">
        <v>6</v>
      </c>
      <c r="D996" s="634">
        <v>43069</v>
      </c>
      <c r="E996" s="629" t="s">
        <v>6</v>
      </c>
      <c r="F996" s="634">
        <v>43131</v>
      </c>
      <c r="G996" s="635" t="s">
        <v>1131</v>
      </c>
      <c r="H996" s="635" t="s">
        <v>6</v>
      </c>
      <c r="I996" s="627" t="s">
        <v>92</v>
      </c>
      <c r="J996" s="567"/>
      <c r="K996" s="568"/>
    </row>
    <row r="997" spans="1:11" x14ac:dyDescent="0.25">
      <c r="A997" s="575">
        <v>70300</v>
      </c>
      <c r="B997" s="576" t="s">
        <v>491</v>
      </c>
      <c r="C997" s="611">
        <v>9500</v>
      </c>
      <c r="D997" s="582">
        <v>0</v>
      </c>
      <c r="E997" s="961">
        <v>0</v>
      </c>
      <c r="F997" s="582">
        <v>0</v>
      </c>
      <c r="G997" s="582">
        <v>0</v>
      </c>
      <c r="H997" s="582"/>
      <c r="I997" s="639">
        <f>F997/C997</f>
        <v>0</v>
      </c>
      <c r="J997" s="567"/>
      <c r="K997" s="568"/>
    </row>
    <row r="998" spans="1:11" x14ac:dyDescent="0.25">
      <c r="A998" s="590">
        <v>70302</v>
      </c>
      <c r="B998" s="576" t="s">
        <v>492</v>
      </c>
      <c r="C998" s="611">
        <v>10500</v>
      </c>
      <c r="D998" s="582">
        <v>0</v>
      </c>
      <c r="E998" s="961">
        <v>0</v>
      </c>
      <c r="F998" s="582">
        <v>0</v>
      </c>
      <c r="G998" s="582">
        <v>0</v>
      </c>
      <c r="H998" s="582"/>
      <c r="I998" s="639">
        <f>F998/C998</f>
        <v>0</v>
      </c>
      <c r="J998" s="567"/>
      <c r="K998" s="568"/>
    </row>
    <row r="999" spans="1:11" x14ac:dyDescent="0.25">
      <c r="A999" s="590">
        <v>70303</v>
      </c>
      <c r="B999" s="576" t="s">
        <v>493</v>
      </c>
      <c r="C999" s="611"/>
      <c r="D999" s="582">
        <v>0</v>
      </c>
      <c r="E999" s="961">
        <v>0.01</v>
      </c>
      <c r="F999" s="582">
        <v>0</v>
      </c>
      <c r="G999" s="582">
        <v>0</v>
      </c>
      <c r="H999" s="582"/>
      <c r="I999" s="639" t="e">
        <f>F999/C999</f>
        <v>#DIV/0!</v>
      </c>
      <c r="J999" s="567"/>
      <c r="K999" s="568"/>
    </row>
    <row r="1000" spans="1:11" x14ac:dyDescent="0.25">
      <c r="A1000" s="590"/>
      <c r="B1000" s="583" t="s">
        <v>242</v>
      </c>
      <c r="C1000" s="589">
        <f>SUM(C997:C999)</f>
        <v>20000</v>
      </c>
      <c r="D1000" s="589">
        <f t="shared" ref="D1000:H1000" si="123">SUM(D997:D999)</f>
        <v>0</v>
      </c>
      <c r="E1000" s="962">
        <f>SUM(E997:E999)</f>
        <v>0.01</v>
      </c>
      <c r="F1000" s="589">
        <f t="shared" si="123"/>
        <v>0</v>
      </c>
      <c r="G1000" s="589">
        <f>SUM(G997:G999)</f>
        <v>0</v>
      </c>
      <c r="H1000" s="589">
        <f t="shared" si="123"/>
        <v>0</v>
      </c>
      <c r="I1000" s="639">
        <f>F1000/C1000</f>
        <v>0</v>
      </c>
      <c r="J1000" s="567"/>
      <c r="K1000" s="568"/>
    </row>
    <row r="1001" spans="1:11" x14ac:dyDescent="0.25">
      <c r="A1001" s="590"/>
      <c r="B1001" s="576"/>
      <c r="C1001" s="582"/>
      <c r="D1001" s="582"/>
      <c r="E1001" s="961"/>
      <c r="F1001" s="582"/>
      <c r="G1001" s="582"/>
      <c r="H1001" s="582"/>
      <c r="I1001" s="581"/>
      <c r="J1001" s="567"/>
      <c r="K1001" s="568"/>
    </row>
    <row r="1002" spans="1:11" x14ac:dyDescent="0.25">
      <c r="A1002" s="590"/>
      <c r="B1002" s="561" t="s">
        <v>494</v>
      </c>
      <c r="C1002" s="616">
        <f>C993+C1000</f>
        <v>138564</v>
      </c>
      <c r="D1002" s="616">
        <f t="shared" ref="D1002:H1002" si="124">D993+D1000</f>
        <v>138046.85</v>
      </c>
      <c r="E1002" s="616">
        <f>E993+E1000</f>
        <v>139137.51</v>
      </c>
      <c r="F1002" s="616">
        <f t="shared" si="124"/>
        <v>0</v>
      </c>
      <c r="G1002" s="616">
        <f>G993+G1000</f>
        <v>139137.5</v>
      </c>
      <c r="H1002" s="616">
        <f t="shared" si="124"/>
        <v>0</v>
      </c>
      <c r="I1002" s="639">
        <f>F1002/C1002</f>
        <v>0</v>
      </c>
      <c r="J1002" s="567"/>
      <c r="K1002" s="568"/>
    </row>
    <row r="1003" spans="1:11" x14ac:dyDescent="0.25">
      <c r="A1003" s="560"/>
      <c r="B1003" s="561"/>
      <c r="C1003" s="582"/>
      <c r="D1003" s="582"/>
      <c r="E1003" s="582"/>
      <c r="F1003" s="582"/>
      <c r="G1003" s="582"/>
      <c r="H1003" s="582"/>
      <c r="I1003" s="581"/>
      <c r="J1003" s="567"/>
      <c r="K1003" s="568"/>
    </row>
    <row r="1004" spans="1:11" x14ac:dyDescent="0.25">
      <c r="A1004" s="560"/>
      <c r="B1004" s="561" t="s">
        <v>449</v>
      </c>
      <c r="C1004" s="616">
        <f t="shared" ref="C1004:H1004" si="125">C965</f>
        <v>136190</v>
      </c>
      <c r="D1004" s="616">
        <f t="shared" si="125"/>
        <v>125182.5</v>
      </c>
      <c r="E1004" s="616">
        <f t="shared" si="125"/>
        <v>139200.00099999999</v>
      </c>
      <c r="F1004" s="616">
        <f t="shared" si="125"/>
        <v>0</v>
      </c>
      <c r="G1004" s="616">
        <f t="shared" si="125"/>
        <v>139200</v>
      </c>
      <c r="H1004" s="616">
        <f t="shared" si="125"/>
        <v>0</v>
      </c>
      <c r="I1004" s="639">
        <f t="shared" ref="I1004:I1009" si="126">F1004/C1004</f>
        <v>0</v>
      </c>
      <c r="J1004" s="567"/>
      <c r="K1004" s="568"/>
    </row>
    <row r="1005" spans="1:11" x14ac:dyDescent="0.25">
      <c r="A1005" s="560"/>
      <c r="B1005" s="561" t="s">
        <v>116</v>
      </c>
      <c r="C1005" s="616">
        <f>C1002</f>
        <v>138564</v>
      </c>
      <c r="D1005" s="616">
        <f t="shared" ref="D1005:F1005" si="127">D1002</f>
        <v>138046.85</v>
      </c>
      <c r="E1005" s="616">
        <f>E1002</f>
        <v>139137.51</v>
      </c>
      <c r="F1005" s="616">
        <f t="shared" si="127"/>
        <v>0</v>
      </c>
      <c r="G1005" s="616">
        <f>G1002</f>
        <v>139137.5</v>
      </c>
      <c r="H1005" s="616">
        <f>H1002</f>
        <v>0</v>
      </c>
      <c r="I1005" s="639">
        <f t="shared" si="126"/>
        <v>0</v>
      </c>
      <c r="J1005" s="567"/>
      <c r="K1005" s="568"/>
    </row>
    <row r="1006" spans="1:11" x14ac:dyDescent="0.25">
      <c r="A1006" s="560"/>
      <c r="B1006" s="561" t="s">
        <v>463</v>
      </c>
      <c r="C1006" s="616">
        <f>C1004-C1005</f>
        <v>-2374</v>
      </c>
      <c r="D1006" s="616">
        <f t="shared" ref="D1006:H1006" si="128">D1004-D1005</f>
        <v>-12864.350000000006</v>
      </c>
      <c r="E1006" s="616">
        <f>E1004-E1005</f>
        <v>62.490999999979977</v>
      </c>
      <c r="F1006" s="616">
        <f t="shared" si="128"/>
        <v>0</v>
      </c>
      <c r="G1006" s="616">
        <f>G1004-G1005</f>
        <v>62.5</v>
      </c>
      <c r="H1006" s="616">
        <f t="shared" si="128"/>
        <v>0</v>
      </c>
      <c r="I1006" s="639">
        <f t="shared" si="126"/>
        <v>0</v>
      </c>
      <c r="J1006" s="567"/>
      <c r="K1006" s="568"/>
    </row>
    <row r="1007" spans="1:11" x14ac:dyDescent="0.25">
      <c r="A1007" s="560"/>
      <c r="B1007" s="561" t="s">
        <v>451</v>
      </c>
      <c r="C1007" s="616">
        <f t="shared" ref="C1007:H1007" si="129">C950+C1006</f>
        <v>19264.649999999994</v>
      </c>
      <c r="D1007" s="616">
        <f t="shared" si="129"/>
        <v>21638.649999999994</v>
      </c>
      <c r="E1007" s="616">
        <f t="shared" si="129"/>
        <v>46742.49099999998</v>
      </c>
      <c r="F1007" s="616">
        <f t="shared" si="129"/>
        <v>0</v>
      </c>
      <c r="G1007" s="616">
        <f t="shared" si="129"/>
        <v>46804.99099999998</v>
      </c>
      <c r="H1007" s="616">
        <f t="shared" si="129"/>
        <v>46804.99099999998</v>
      </c>
      <c r="I1007" s="639">
        <f t="shared" si="126"/>
        <v>0</v>
      </c>
      <c r="J1007" s="567"/>
      <c r="K1007" s="568"/>
    </row>
    <row r="1008" spans="1:11" x14ac:dyDescent="0.25">
      <c r="A1008" s="560"/>
      <c r="B1008" s="561" t="s">
        <v>370</v>
      </c>
      <c r="C1008" s="579">
        <v>0</v>
      </c>
      <c r="D1008" s="582">
        <v>0</v>
      </c>
      <c r="E1008" s="579"/>
      <c r="F1008" s="579">
        <v>0</v>
      </c>
      <c r="G1008" s="579">
        <v>0</v>
      </c>
      <c r="H1008" s="579">
        <v>2375</v>
      </c>
      <c r="I1008" s="639" t="e">
        <f t="shared" si="126"/>
        <v>#DIV/0!</v>
      </c>
      <c r="J1008" s="567"/>
      <c r="K1008" s="568"/>
    </row>
    <row r="1009" spans="1:11" x14ac:dyDescent="0.25">
      <c r="A1009" s="560"/>
      <c r="B1009" s="561" t="s">
        <v>465</v>
      </c>
      <c r="C1009" s="616">
        <f>C1007-C1008</f>
        <v>19264.649999999994</v>
      </c>
      <c r="D1009" s="616">
        <f t="shared" ref="D1009:H1009" si="130">D1007-D1008</f>
        <v>21638.649999999994</v>
      </c>
      <c r="E1009" s="616">
        <f>E1007-E1008</f>
        <v>46742.49099999998</v>
      </c>
      <c r="F1009" s="616">
        <f t="shared" si="130"/>
        <v>0</v>
      </c>
      <c r="G1009" s="616">
        <f>G1007-G1008</f>
        <v>46804.99099999998</v>
      </c>
      <c r="H1009" s="616">
        <f t="shared" si="130"/>
        <v>44429.99099999998</v>
      </c>
      <c r="I1009" s="639">
        <f t="shared" si="126"/>
        <v>0</v>
      </c>
      <c r="J1009" s="567"/>
      <c r="K1009" s="568"/>
    </row>
    <row r="1010" spans="1:11" s="569" customFormat="1" x14ac:dyDescent="0.25">
      <c r="A1010" s="560"/>
      <c r="B1010" s="561"/>
      <c r="C1010" s="674"/>
      <c r="D1010" s="616"/>
      <c r="E1010" s="611"/>
      <c r="F1010" s="564"/>
      <c r="G1010" s="581"/>
      <c r="H1010" s="581"/>
      <c r="I1010" s="581"/>
      <c r="J1010" s="567"/>
      <c r="K1010" s="568"/>
    </row>
    <row r="1011" spans="1:11" x14ac:dyDescent="0.25">
      <c r="A1011" s="686">
        <v>130</v>
      </c>
      <c r="B1011" s="628" t="s">
        <v>495</v>
      </c>
      <c r="C1011" s="625">
        <v>2017</v>
      </c>
      <c r="D1011" s="631" t="s">
        <v>1236</v>
      </c>
      <c r="E1011" s="631">
        <v>2018</v>
      </c>
      <c r="F1011" s="625" t="s">
        <v>1236</v>
      </c>
      <c r="G1011" s="631" t="s">
        <v>4</v>
      </c>
      <c r="H1011" s="631">
        <v>2019</v>
      </c>
      <c r="I1011" s="627" t="s">
        <v>5</v>
      </c>
      <c r="J1011" s="567"/>
      <c r="K1011" s="568"/>
    </row>
    <row r="1012" spans="1:11" x14ac:dyDescent="0.25">
      <c r="A1012" s="560"/>
      <c r="B1012" s="561"/>
      <c r="C1012" s="625" t="s">
        <v>6</v>
      </c>
      <c r="D1012" s="635">
        <v>43069</v>
      </c>
      <c r="E1012" s="631" t="s">
        <v>6</v>
      </c>
      <c r="F1012" s="635">
        <v>43131</v>
      </c>
      <c r="G1012" s="635" t="s">
        <v>1131</v>
      </c>
      <c r="H1012" s="635" t="s">
        <v>6</v>
      </c>
      <c r="I1012" s="627" t="s">
        <v>7</v>
      </c>
      <c r="J1012" s="567"/>
      <c r="K1012" s="568"/>
    </row>
    <row r="1013" spans="1:11" x14ac:dyDescent="0.25">
      <c r="A1013" s="580" t="s">
        <v>1248</v>
      </c>
      <c r="B1013" s="561"/>
      <c r="C1013" s="563">
        <v>795</v>
      </c>
      <c r="D1013" s="563">
        <v>0</v>
      </c>
      <c r="E1013" s="946">
        <v>-1783</v>
      </c>
      <c r="F1013" s="946"/>
      <c r="G1013" s="946">
        <v>-1783</v>
      </c>
      <c r="H1013" s="566" t="s">
        <v>94</v>
      </c>
      <c r="I1013" s="581"/>
      <c r="J1013" s="567"/>
      <c r="K1013" s="568"/>
    </row>
    <row r="1014" spans="1:11" x14ac:dyDescent="0.25">
      <c r="A1014" s="560"/>
      <c r="B1014" s="561"/>
      <c r="C1014" s="563"/>
      <c r="D1014" s="563"/>
      <c r="E1014" s="593"/>
      <c r="F1014" s="581"/>
      <c r="G1014" s="581"/>
      <c r="H1014" s="581"/>
      <c r="I1014" s="581"/>
      <c r="J1014" s="567"/>
      <c r="K1014" s="568"/>
    </row>
    <row r="1015" spans="1:11" x14ac:dyDescent="0.25">
      <c r="A1015" s="560" t="s">
        <v>496</v>
      </c>
      <c r="B1015" s="561" t="s">
        <v>497</v>
      </c>
      <c r="C1015" s="563"/>
      <c r="D1015" s="563"/>
      <c r="E1015" s="563"/>
      <c r="F1015" s="581"/>
      <c r="G1015" s="581"/>
      <c r="H1015" s="581"/>
      <c r="I1015" s="581"/>
      <c r="J1015" s="567"/>
      <c r="K1015" s="568"/>
    </row>
    <row r="1016" spans="1:11" x14ac:dyDescent="0.25">
      <c r="A1016" s="590">
        <v>32340</v>
      </c>
      <c r="B1016" s="576" t="s">
        <v>29</v>
      </c>
      <c r="C1016" s="562"/>
      <c r="D1016" s="562"/>
      <c r="E1016" s="562"/>
      <c r="F1016" s="581"/>
      <c r="G1016" s="581">
        <v>0</v>
      </c>
      <c r="H1016" s="581"/>
      <c r="I1016" s="639" t="e">
        <f t="shared" ref="I1016:I1022" si="131">F1016/C1016</f>
        <v>#DIV/0!</v>
      </c>
      <c r="J1016" s="567"/>
      <c r="K1016" s="568"/>
    </row>
    <row r="1017" spans="1:11" x14ac:dyDescent="0.25">
      <c r="A1017" s="590">
        <v>36160</v>
      </c>
      <c r="B1017" s="576" t="s">
        <v>498</v>
      </c>
      <c r="C1017" s="562">
        <v>20363</v>
      </c>
      <c r="D1017" s="562">
        <v>20363</v>
      </c>
      <c r="E1017" s="562"/>
      <c r="F1017" s="581"/>
      <c r="G1017" s="581"/>
      <c r="H1017" s="581"/>
      <c r="I1017" s="639">
        <f t="shared" si="131"/>
        <v>0</v>
      </c>
      <c r="J1017" s="567"/>
      <c r="K1017" s="568"/>
    </row>
    <row r="1018" spans="1:11" x14ac:dyDescent="0.25">
      <c r="A1018" s="590">
        <v>36161</v>
      </c>
      <c r="B1018" s="576" t="s">
        <v>499</v>
      </c>
      <c r="C1018" s="562"/>
      <c r="D1018" s="562">
        <v>0</v>
      </c>
      <c r="E1018" s="562">
        <v>0.01</v>
      </c>
      <c r="F1018" s="581"/>
      <c r="G1018" s="581">
        <v>0</v>
      </c>
      <c r="H1018" s="581"/>
      <c r="I1018" s="639" t="e">
        <f t="shared" si="131"/>
        <v>#DIV/0!</v>
      </c>
      <c r="J1018" s="567"/>
      <c r="K1018" s="568"/>
    </row>
    <row r="1019" spans="1:11" x14ac:dyDescent="0.25">
      <c r="A1019" s="590">
        <v>36162</v>
      </c>
      <c r="B1019" s="576" t="s">
        <v>1077</v>
      </c>
      <c r="C1019" s="562">
        <v>345000</v>
      </c>
      <c r="D1019" s="562">
        <v>345709</v>
      </c>
      <c r="E1019" s="562">
        <v>0</v>
      </c>
      <c r="F1019" s="562"/>
      <c r="G1019" s="562">
        <v>0</v>
      </c>
      <c r="H1019" s="562"/>
      <c r="I1019" s="639">
        <f t="shared" si="131"/>
        <v>0</v>
      </c>
      <c r="J1019" s="567"/>
      <c r="K1019" s="568"/>
    </row>
    <row r="1020" spans="1:11" x14ac:dyDescent="0.25">
      <c r="A1020" s="590">
        <v>38102</v>
      </c>
      <c r="B1020" s="576" t="s">
        <v>1256</v>
      </c>
      <c r="C1020" s="562"/>
      <c r="D1020" s="562">
        <v>0</v>
      </c>
      <c r="E1020" s="562">
        <v>0.01</v>
      </c>
      <c r="F1020" s="581"/>
      <c r="G1020" s="581">
        <v>0</v>
      </c>
      <c r="H1020" s="581"/>
      <c r="I1020" s="639" t="e">
        <f t="shared" si="131"/>
        <v>#DIV/0!</v>
      </c>
      <c r="J1020" s="567"/>
      <c r="K1020" s="568"/>
    </row>
    <row r="1021" spans="1:11" x14ac:dyDescent="0.25">
      <c r="A1021" s="590"/>
      <c r="B1021" s="900" t="s">
        <v>500</v>
      </c>
      <c r="C1021" s="902">
        <v>25500</v>
      </c>
      <c r="D1021" s="902">
        <v>0</v>
      </c>
      <c r="E1021" s="902"/>
      <c r="F1021" s="581"/>
      <c r="G1021" s="581"/>
      <c r="H1021" s="581"/>
      <c r="I1021" s="639">
        <f t="shared" si="131"/>
        <v>0</v>
      </c>
      <c r="J1021" s="567"/>
      <c r="K1021" s="568"/>
    </row>
    <row r="1022" spans="1:11" x14ac:dyDescent="0.25">
      <c r="A1022" s="590"/>
      <c r="B1022" s="561" t="s">
        <v>501</v>
      </c>
      <c r="C1022" s="563">
        <f>SUM(C1016:C1021)</f>
        <v>390863</v>
      </c>
      <c r="D1022" s="563">
        <f t="shared" ref="D1022:H1022" si="132">SUM(D1016:D1021)</f>
        <v>366072</v>
      </c>
      <c r="E1022" s="563">
        <f>SUM(E1016:E1021)</f>
        <v>0.02</v>
      </c>
      <c r="F1022" s="563">
        <f t="shared" si="132"/>
        <v>0</v>
      </c>
      <c r="G1022" s="563">
        <f>SUM(G1016:G1021)</f>
        <v>0</v>
      </c>
      <c r="H1022" s="563">
        <f t="shared" si="132"/>
        <v>0</v>
      </c>
      <c r="I1022" s="639">
        <f t="shared" si="131"/>
        <v>0</v>
      </c>
      <c r="J1022" s="567"/>
      <c r="K1022" s="568"/>
    </row>
    <row r="1023" spans="1:11" s="569" customFormat="1" x14ac:dyDescent="0.25">
      <c r="A1023" s="560"/>
      <c r="B1023" s="561"/>
      <c r="C1023" s="610"/>
      <c r="D1023" s="562"/>
      <c r="E1023" s="611"/>
      <c r="F1023" s="564"/>
      <c r="G1023" s="581"/>
      <c r="H1023" s="581"/>
      <c r="I1023" s="581"/>
      <c r="J1023" s="567"/>
      <c r="K1023" s="568"/>
    </row>
    <row r="1024" spans="1:11" hidden="1" x14ac:dyDescent="0.25">
      <c r="A1024" s="749" t="s">
        <v>502</v>
      </c>
      <c r="B1024" s="624" t="s">
        <v>503</v>
      </c>
      <c r="C1024" s="625">
        <v>2016</v>
      </c>
      <c r="D1024" s="631" t="s">
        <v>3</v>
      </c>
      <c r="E1024" s="631">
        <v>2015</v>
      </c>
      <c r="F1024" s="625" t="s">
        <v>3</v>
      </c>
      <c r="G1024" s="631" t="s">
        <v>4</v>
      </c>
      <c r="H1024" s="631">
        <v>2017</v>
      </c>
      <c r="I1024" s="626" t="s">
        <v>5</v>
      </c>
      <c r="J1024" s="750"/>
      <c r="K1024" s="751"/>
    </row>
    <row r="1025" spans="1:11" hidden="1" x14ac:dyDescent="0.25">
      <c r="A1025" s="749"/>
      <c r="B1025" s="624"/>
      <c r="C1025" s="625" t="s">
        <v>6</v>
      </c>
      <c r="D1025" s="635">
        <v>42369</v>
      </c>
      <c r="E1025" s="631" t="s">
        <v>6</v>
      </c>
      <c r="F1025" s="635">
        <v>42692</v>
      </c>
      <c r="G1025" s="635" t="s">
        <v>933</v>
      </c>
      <c r="H1025" s="635" t="s">
        <v>6</v>
      </c>
      <c r="I1025" s="626" t="s">
        <v>92</v>
      </c>
      <c r="J1025" s="750"/>
      <c r="K1025" s="751"/>
    </row>
    <row r="1026" spans="1:11" hidden="1" x14ac:dyDescent="0.25">
      <c r="A1026" s="575">
        <v>63246</v>
      </c>
      <c r="B1026" s="576" t="s">
        <v>504</v>
      </c>
      <c r="C1026" s="610"/>
      <c r="D1026" s="562"/>
      <c r="E1026" s="562"/>
      <c r="F1026" s="564"/>
      <c r="G1026" s="581"/>
      <c r="H1026" s="581"/>
      <c r="I1026" s="581"/>
      <c r="J1026" s="567"/>
      <c r="K1026" s="568"/>
    </row>
    <row r="1027" spans="1:11" hidden="1" x14ac:dyDescent="0.25">
      <c r="A1027" s="560"/>
      <c r="B1027" s="576" t="s">
        <v>505</v>
      </c>
      <c r="C1027" s="610">
        <v>0.01</v>
      </c>
      <c r="D1027" s="562">
        <v>0</v>
      </c>
      <c r="E1027" s="562">
        <v>0.01</v>
      </c>
      <c r="F1027" s="564">
        <v>0</v>
      </c>
      <c r="G1027" s="581">
        <v>0</v>
      </c>
      <c r="H1027" s="581">
        <v>0</v>
      </c>
      <c r="I1027" s="639">
        <f>F1027/C1027</f>
        <v>0</v>
      </c>
      <c r="J1027" s="567"/>
      <c r="K1027" s="568"/>
    </row>
    <row r="1028" spans="1:11" hidden="1" x14ac:dyDescent="0.25">
      <c r="A1028" s="560"/>
      <c r="B1028" s="576" t="s">
        <v>506</v>
      </c>
      <c r="C1028" s="610">
        <v>0.01</v>
      </c>
      <c r="D1028" s="562">
        <v>0</v>
      </c>
      <c r="E1028" s="562">
        <v>0.01</v>
      </c>
      <c r="F1028" s="564">
        <v>0</v>
      </c>
      <c r="G1028" s="581">
        <v>0</v>
      </c>
      <c r="H1028" s="581">
        <v>0</v>
      </c>
      <c r="I1028" s="639">
        <f>F1028/C1028</f>
        <v>0</v>
      </c>
      <c r="J1028" s="567"/>
      <c r="K1028" s="568"/>
    </row>
    <row r="1029" spans="1:11" hidden="1" x14ac:dyDescent="0.25">
      <c r="A1029" s="560"/>
      <c r="B1029" s="583" t="s">
        <v>507</v>
      </c>
      <c r="C1029" s="585">
        <f>SUM(C1026:C1028)</f>
        <v>0.02</v>
      </c>
      <c r="D1029" s="586">
        <f t="shared" ref="D1029:H1029" si="133">SUM(D1026:D1028)</f>
        <v>0</v>
      </c>
      <c r="E1029" s="586">
        <f>SUM(E1026:E1028)</f>
        <v>0.02</v>
      </c>
      <c r="F1029" s="585">
        <f t="shared" si="133"/>
        <v>0</v>
      </c>
      <c r="G1029" s="586">
        <f>SUM(G1026:G1028)</f>
        <v>0</v>
      </c>
      <c r="H1029" s="586">
        <f t="shared" si="133"/>
        <v>0</v>
      </c>
      <c r="I1029" s="639">
        <f>F1029/C1029</f>
        <v>0</v>
      </c>
      <c r="J1029" s="567"/>
      <c r="K1029" s="568"/>
    </row>
    <row r="1030" spans="1:11" s="569" customFormat="1" hidden="1" x14ac:dyDescent="0.25">
      <c r="A1030" s="560"/>
      <c r="B1030" s="583"/>
      <c r="C1030" s="585"/>
      <c r="D1030" s="586"/>
      <c r="E1030" s="611" t="s">
        <v>1</v>
      </c>
      <c r="F1030" s="564"/>
      <c r="G1030" s="581"/>
      <c r="H1030" s="581"/>
      <c r="I1030" s="581"/>
      <c r="J1030" s="567"/>
      <c r="K1030" s="568"/>
    </row>
    <row r="1031" spans="1:11" x14ac:dyDescent="0.25">
      <c r="A1031" s="749" t="s">
        <v>508</v>
      </c>
      <c r="B1031" s="624" t="s">
        <v>1257</v>
      </c>
      <c r="C1031" s="625">
        <v>2017</v>
      </c>
      <c r="D1031" s="631" t="s">
        <v>1236</v>
      </c>
      <c r="E1031" s="631">
        <v>2018</v>
      </c>
      <c r="F1031" s="625" t="s">
        <v>1236</v>
      </c>
      <c r="G1031" s="631" t="s">
        <v>4</v>
      </c>
      <c r="H1031" s="631">
        <v>2019</v>
      </c>
      <c r="I1031" s="626" t="s">
        <v>5</v>
      </c>
      <c r="J1031" s="750"/>
      <c r="K1031" s="751"/>
    </row>
    <row r="1032" spans="1:11" x14ac:dyDescent="0.25">
      <c r="A1032" s="560"/>
      <c r="B1032" s="561"/>
      <c r="C1032" s="625" t="s">
        <v>6</v>
      </c>
      <c r="D1032" s="635">
        <v>43069</v>
      </c>
      <c r="E1032" s="631" t="s">
        <v>6</v>
      </c>
      <c r="F1032" s="635">
        <v>43131</v>
      </c>
      <c r="G1032" s="635" t="s">
        <v>1131</v>
      </c>
      <c r="H1032" s="635" t="s">
        <v>6</v>
      </c>
      <c r="I1032" s="626" t="s">
        <v>92</v>
      </c>
      <c r="J1032" s="750"/>
      <c r="K1032" s="751"/>
    </row>
    <row r="1033" spans="1:11" x14ac:dyDescent="0.25">
      <c r="A1033" s="590">
        <v>40110</v>
      </c>
      <c r="B1033" s="576" t="s">
        <v>509</v>
      </c>
      <c r="C1033" s="562">
        <v>29283</v>
      </c>
      <c r="D1033" s="562">
        <f>27535.5+1102</f>
        <v>28637.5</v>
      </c>
      <c r="E1033" s="562"/>
      <c r="F1033" s="562"/>
      <c r="G1033" s="562"/>
      <c r="H1033" s="562"/>
      <c r="I1033" s="639">
        <f t="shared" ref="I1033:I1046" si="134">F1033/C1033</f>
        <v>0</v>
      </c>
      <c r="J1033" s="567"/>
      <c r="K1033" s="568"/>
    </row>
    <row r="1034" spans="1:11" x14ac:dyDescent="0.25">
      <c r="A1034" s="590">
        <v>40210</v>
      </c>
      <c r="B1034" s="576" t="s">
        <v>206</v>
      </c>
      <c r="C1034" s="562">
        <v>0</v>
      </c>
      <c r="D1034" s="562">
        <v>0</v>
      </c>
      <c r="E1034" s="562"/>
      <c r="F1034" s="562"/>
      <c r="G1034" s="562"/>
      <c r="H1034" s="562"/>
      <c r="I1034" s="639" t="e">
        <f t="shared" si="134"/>
        <v>#DIV/0!</v>
      </c>
      <c r="J1034" s="567"/>
      <c r="K1034" s="568"/>
    </row>
    <row r="1035" spans="1:11" x14ac:dyDescent="0.25">
      <c r="A1035" s="590">
        <v>41410</v>
      </c>
      <c r="B1035" s="576" t="s">
        <v>510</v>
      </c>
      <c r="C1035" s="562">
        <v>85</v>
      </c>
      <c r="D1035" s="562">
        <v>74.400000000000006</v>
      </c>
      <c r="E1035" s="562"/>
      <c r="F1035" s="562"/>
      <c r="G1035" s="562"/>
      <c r="H1035" s="562"/>
      <c r="I1035" s="639">
        <f t="shared" si="134"/>
        <v>0</v>
      </c>
      <c r="J1035" s="567"/>
      <c r="K1035" s="568"/>
    </row>
    <row r="1036" spans="1:11" x14ac:dyDescent="0.25">
      <c r="A1036" s="590">
        <v>41420</v>
      </c>
      <c r="B1036" s="576" t="s">
        <v>511</v>
      </c>
      <c r="C1036" s="562">
        <v>784</v>
      </c>
      <c r="D1036" s="562">
        <v>0</v>
      </c>
      <c r="E1036" s="562"/>
      <c r="F1036" s="562"/>
      <c r="G1036" s="562"/>
      <c r="H1036" s="562"/>
      <c r="I1036" s="639">
        <f t="shared" si="134"/>
        <v>0</v>
      </c>
      <c r="J1036" s="567"/>
      <c r="K1036" s="568"/>
    </row>
    <row r="1037" spans="1:11" x14ac:dyDescent="0.25">
      <c r="A1037" s="590">
        <v>41430</v>
      </c>
      <c r="B1037" s="576" t="s">
        <v>98</v>
      </c>
      <c r="C1037" s="562">
        <v>8310</v>
      </c>
      <c r="D1037" s="562">
        <v>7141.76</v>
      </c>
      <c r="E1037" s="562"/>
      <c r="F1037" s="562"/>
      <c r="G1037" s="562"/>
      <c r="H1037" s="562"/>
      <c r="I1037" s="639">
        <f t="shared" si="134"/>
        <v>0</v>
      </c>
      <c r="J1037" s="567"/>
      <c r="K1037" s="568"/>
    </row>
    <row r="1038" spans="1:11" x14ac:dyDescent="0.25">
      <c r="A1038" s="590">
        <v>41440</v>
      </c>
      <c r="B1038" s="576" t="s">
        <v>100</v>
      </c>
      <c r="C1038" s="562">
        <v>1816</v>
      </c>
      <c r="D1038" s="562">
        <v>1537.12</v>
      </c>
      <c r="E1038" s="562"/>
      <c r="F1038" s="562"/>
      <c r="G1038" s="562"/>
      <c r="H1038" s="562"/>
      <c r="I1038" s="639">
        <f t="shared" si="134"/>
        <v>0</v>
      </c>
      <c r="J1038" s="567"/>
      <c r="K1038" s="568"/>
    </row>
    <row r="1039" spans="1:11" x14ac:dyDescent="0.25">
      <c r="A1039" s="590">
        <v>41450</v>
      </c>
      <c r="B1039" s="576" t="s">
        <v>101</v>
      </c>
      <c r="C1039" s="562">
        <v>425</v>
      </c>
      <c r="D1039" s="562">
        <v>359.48</v>
      </c>
      <c r="E1039" s="562"/>
      <c r="F1039" s="562"/>
      <c r="G1039" s="562"/>
      <c r="H1039" s="562"/>
      <c r="I1039" s="639">
        <f t="shared" si="134"/>
        <v>0</v>
      </c>
      <c r="J1039" s="567"/>
      <c r="K1039" s="568"/>
    </row>
    <row r="1040" spans="1:11" x14ac:dyDescent="0.25">
      <c r="A1040" s="590">
        <v>41470</v>
      </c>
      <c r="B1040" s="576" t="s">
        <v>102</v>
      </c>
      <c r="C1040" s="562">
        <v>19</v>
      </c>
      <c r="D1040" s="562">
        <v>17.649999999999999</v>
      </c>
      <c r="E1040" s="562"/>
      <c r="F1040" s="562"/>
      <c r="G1040" s="562"/>
      <c r="H1040" s="562"/>
      <c r="I1040" s="639">
        <f t="shared" si="134"/>
        <v>0</v>
      </c>
      <c r="J1040" s="567"/>
      <c r="K1040" s="568"/>
    </row>
    <row r="1041" spans="1:11" x14ac:dyDescent="0.25">
      <c r="A1041" s="590">
        <v>62500</v>
      </c>
      <c r="B1041" s="576" t="s">
        <v>109</v>
      </c>
      <c r="C1041" s="562">
        <v>300</v>
      </c>
      <c r="D1041" s="562">
        <v>249.94</v>
      </c>
      <c r="E1041" s="562"/>
      <c r="F1041" s="562"/>
      <c r="G1041" s="562"/>
      <c r="H1041" s="562"/>
      <c r="I1041" s="639">
        <f t="shared" si="134"/>
        <v>0</v>
      </c>
      <c r="J1041" s="567"/>
      <c r="K1041" s="568"/>
    </row>
    <row r="1042" spans="1:11" x14ac:dyDescent="0.25">
      <c r="A1042" s="590">
        <v>62510</v>
      </c>
      <c r="B1042" s="576" t="s">
        <v>110</v>
      </c>
      <c r="C1042" s="562">
        <v>200</v>
      </c>
      <c r="D1042" s="562">
        <v>432.49</v>
      </c>
      <c r="E1042" s="562"/>
      <c r="F1042" s="562"/>
      <c r="G1042" s="562"/>
      <c r="H1042" s="562"/>
      <c r="I1042" s="639">
        <f t="shared" si="134"/>
        <v>0</v>
      </c>
      <c r="J1042" s="567"/>
      <c r="K1042" s="568"/>
    </row>
    <row r="1043" spans="1:11" x14ac:dyDescent="0.25">
      <c r="A1043" s="590">
        <v>62530</v>
      </c>
      <c r="B1043" s="576" t="s">
        <v>171</v>
      </c>
      <c r="C1043" s="562">
        <v>500</v>
      </c>
      <c r="D1043" s="562">
        <v>0</v>
      </c>
      <c r="E1043" s="562"/>
      <c r="F1043" s="562"/>
      <c r="G1043" s="562"/>
      <c r="H1043" s="562"/>
      <c r="I1043" s="639">
        <f t="shared" si="134"/>
        <v>0</v>
      </c>
      <c r="J1043" s="567"/>
      <c r="K1043" s="568"/>
    </row>
    <row r="1044" spans="1:11" x14ac:dyDescent="0.25">
      <c r="A1044" s="590">
        <v>63247</v>
      </c>
      <c r="B1044" s="576" t="s">
        <v>512</v>
      </c>
      <c r="C1044" s="562">
        <v>100</v>
      </c>
      <c r="D1044" s="562">
        <v>0</v>
      </c>
      <c r="E1044" s="562"/>
      <c r="F1044" s="581"/>
      <c r="G1044" s="581"/>
      <c r="H1044" s="581"/>
      <c r="I1044" s="639">
        <f t="shared" si="134"/>
        <v>0</v>
      </c>
      <c r="J1044" s="567"/>
      <c r="K1044" s="568"/>
    </row>
    <row r="1045" spans="1:11" x14ac:dyDescent="0.25">
      <c r="A1045" s="590">
        <v>69011</v>
      </c>
      <c r="B1045" s="576" t="s">
        <v>1052</v>
      </c>
      <c r="C1045" s="562">
        <v>1000</v>
      </c>
      <c r="D1045" s="562">
        <v>2140.58</v>
      </c>
      <c r="E1045" s="562"/>
      <c r="F1045" s="581"/>
      <c r="G1045" s="581"/>
      <c r="H1045" s="581"/>
      <c r="I1045" s="639">
        <f t="shared" si="134"/>
        <v>0</v>
      </c>
      <c r="J1045" s="567"/>
      <c r="K1045" s="568"/>
    </row>
    <row r="1046" spans="1:11" x14ac:dyDescent="0.25">
      <c r="A1046" s="590"/>
      <c r="B1046" s="583" t="s">
        <v>507</v>
      </c>
      <c r="C1046" s="584">
        <f>SUM(C1033:C1045)</f>
        <v>42822</v>
      </c>
      <c r="D1046" s="584">
        <f>SUM(D1033:D1044)</f>
        <v>38450.340000000011</v>
      </c>
      <c r="E1046" s="584">
        <f>SUM(E1033:E1045)</f>
        <v>0</v>
      </c>
      <c r="F1046" s="584">
        <f>SUM(F1033:F1045)</f>
        <v>0</v>
      </c>
      <c r="G1046" s="584">
        <f>SUM(G1033:G1045)</f>
        <v>0</v>
      </c>
      <c r="H1046" s="584">
        <f>SUM(H1033:H1045)</f>
        <v>0</v>
      </c>
      <c r="I1046" s="639">
        <f t="shared" si="134"/>
        <v>0</v>
      </c>
      <c r="J1046" s="567"/>
      <c r="K1046" s="568"/>
    </row>
    <row r="1047" spans="1:11" x14ac:dyDescent="0.25">
      <c r="A1047" s="590"/>
      <c r="B1047" s="583"/>
      <c r="C1047" s="562"/>
      <c r="D1047" s="584"/>
      <c r="E1047" s="584"/>
      <c r="F1047" s="581"/>
      <c r="G1047" s="581"/>
      <c r="H1047" s="581"/>
      <c r="I1047" s="581"/>
      <c r="J1047" s="567"/>
      <c r="K1047" s="568"/>
    </row>
    <row r="1048" spans="1:11" x14ac:dyDescent="0.25">
      <c r="A1048" s="687" t="s">
        <v>513</v>
      </c>
      <c r="B1048" s="688" t="s">
        <v>514</v>
      </c>
      <c r="C1048" s="562"/>
      <c r="D1048" s="584"/>
      <c r="E1048" s="584"/>
      <c r="F1048" s="581"/>
      <c r="G1048" s="581"/>
      <c r="H1048" s="581"/>
      <c r="I1048" s="581"/>
      <c r="J1048" s="567"/>
      <c r="K1048" s="568"/>
    </row>
    <row r="1049" spans="1:11" x14ac:dyDescent="0.25">
      <c r="A1049" s="590">
        <v>90004</v>
      </c>
      <c r="B1049" s="576" t="s">
        <v>515</v>
      </c>
      <c r="C1049" s="562">
        <v>172000</v>
      </c>
      <c r="D1049" s="562">
        <v>0</v>
      </c>
      <c r="E1049" s="562">
        <v>0</v>
      </c>
      <c r="F1049" s="581"/>
      <c r="G1049" s="581">
        <v>0</v>
      </c>
      <c r="H1049" s="581"/>
      <c r="I1049" s="639">
        <f>F1049/C1049</f>
        <v>0</v>
      </c>
      <c r="J1049" s="567"/>
      <c r="K1049" s="568"/>
    </row>
    <row r="1050" spans="1:11" x14ac:dyDescent="0.25">
      <c r="A1050" s="590">
        <v>90005</v>
      </c>
      <c r="B1050" s="576" t="s">
        <v>516</v>
      </c>
      <c r="C1050" s="562">
        <v>172000</v>
      </c>
      <c r="D1050" s="562">
        <v>3835.9</v>
      </c>
      <c r="E1050" s="562">
        <v>0</v>
      </c>
      <c r="F1050" s="581"/>
      <c r="G1050" s="581">
        <v>0</v>
      </c>
      <c r="H1050" s="581"/>
      <c r="I1050" s="639">
        <f>F1050/C1050</f>
        <v>0</v>
      </c>
      <c r="J1050" s="567"/>
      <c r="K1050" s="568"/>
    </row>
    <row r="1051" spans="1:11" x14ac:dyDescent="0.25">
      <c r="A1051" s="590"/>
      <c r="B1051" s="583" t="s">
        <v>507</v>
      </c>
      <c r="C1051" s="584">
        <f>SUM(C1049:C1050)</f>
        <v>344000</v>
      </c>
      <c r="D1051" s="584">
        <f t="shared" ref="D1051:H1051" si="135">SUM(D1049:D1050)</f>
        <v>3835.9</v>
      </c>
      <c r="E1051" s="584">
        <f>SUM(E1049:E1050)</f>
        <v>0</v>
      </c>
      <c r="F1051" s="584">
        <f t="shared" si="135"/>
        <v>0</v>
      </c>
      <c r="G1051" s="584">
        <f>SUM(G1049:G1050)</f>
        <v>0</v>
      </c>
      <c r="H1051" s="584">
        <f t="shared" si="135"/>
        <v>0</v>
      </c>
      <c r="I1051" s="639">
        <f>F1051/C1051</f>
        <v>0</v>
      </c>
      <c r="J1051" s="567"/>
      <c r="K1051" s="568"/>
    </row>
    <row r="1052" spans="1:11" x14ac:dyDescent="0.25">
      <c r="A1052" s="590"/>
      <c r="B1052" s="576"/>
      <c r="C1052" s="611"/>
      <c r="D1052" s="611"/>
      <c r="E1052" s="611"/>
      <c r="F1052" s="582"/>
      <c r="G1052" s="582"/>
      <c r="H1052" s="582"/>
      <c r="I1052" s="581"/>
      <c r="J1052" s="567"/>
      <c r="K1052" s="568"/>
    </row>
    <row r="1053" spans="1:11" x14ac:dyDescent="0.25">
      <c r="A1053" s="590"/>
      <c r="B1053" s="561" t="s">
        <v>449</v>
      </c>
      <c r="C1053" s="616">
        <f>C1022</f>
        <v>390863</v>
      </c>
      <c r="D1053" s="616">
        <f t="shared" ref="D1053:H1053" si="136">D1022</f>
        <v>366072</v>
      </c>
      <c r="E1053" s="616">
        <f>E1022</f>
        <v>0.02</v>
      </c>
      <c r="F1053" s="616">
        <f t="shared" si="136"/>
        <v>0</v>
      </c>
      <c r="G1053" s="616">
        <f>G1022</f>
        <v>0</v>
      </c>
      <c r="H1053" s="616">
        <f t="shared" si="136"/>
        <v>0</v>
      </c>
      <c r="I1053" s="639">
        <f t="shared" ref="I1053:I1058" si="137">F1053/C1053</f>
        <v>0</v>
      </c>
      <c r="J1053" s="567"/>
      <c r="K1053" s="568"/>
    </row>
    <row r="1054" spans="1:11" x14ac:dyDescent="0.25">
      <c r="A1054" s="590"/>
      <c r="B1054" s="561" t="s">
        <v>116</v>
      </c>
      <c r="C1054" s="616">
        <f>C1029+C1046+C1051</f>
        <v>386822.02</v>
      </c>
      <c r="D1054" s="616">
        <f t="shared" ref="D1054:H1054" si="138">D1029+D1046+D1051</f>
        <v>42286.240000000013</v>
      </c>
      <c r="E1054" s="616">
        <f>E1029+E1046+E1051</f>
        <v>0.02</v>
      </c>
      <c r="F1054" s="616">
        <f t="shared" si="138"/>
        <v>0</v>
      </c>
      <c r="G1054" s="616">
        <f>G1029+G1046+G1051</f>
        <v>0</v>
      </c>
      <c r="H1054" s="616">
        <f t="shared" si="138"/>
        <v>0</v>
      </c>
      <c r="I1054" s="639">
        <f t="shared" si="137"/>
        <v>0</v>
      </c>
      <c r="J1054" s="567"/>
      <c r="K1054" s="568"/>
    </row>
    <row r="1055" spans="1:11" x14ac:dyDescent="0.25">
      <c r="A1055" s="590"/>
      <c r="B1055" s="561" t="s">
        <v>463</v>
      </c>
      <c r="C1055" s="616">
        <f>C1053-C1054</f>
        <v>4040.9799999999814</v>
      </c>
      <c r="D1055" s="616">
        <f t="shared" ref="D1055:H1055" si="139">D1053-D1054</f>
        <v>323785.76</v>
      </c>
      <c r="E1055" s="616">
        <f>E1053-E1054</f>
        <v>0</v>
      </c>
      <c r="F1055" s="616">
        <f t="shared" si="139"/>
        <v>0</v>
      </c>
      <c r="G1055" s="616">
        <f>G1053-G1054</f>
        <v>0</v>
      </c>
      <c r="H1055" s="616">
        <f t="shared" si="139"/>
        <v>0</v>
      </c>
      <c r="I1055" s="639">
        <f t="shared" si="137"/>
        <v>0</v>
      </c>
      <c r="J1055" s="567"/>
      <c r="K1055" s="568"/>
    </row>
    <row r="1056" spans="1:11" x14ac:dyDescent="0.25">
      <c r="A1056" s="590"/>
      <c r="B1056" s="561" t="s">
        <v>451</v>
      </c>
      <c r="C1056" s="616">
        <f>C1013+C1055</f>
        <v>4835.9799999999814</v>
      </c>
      <c r="D1056" s="616">
        <f t="shared" ref="D1056:H1056" si="140">D1013+D1055</f>
        <v>323785.76</v>
      </c>
      <c r="E1056" s="616">
        <f>E1013+E1055</f>
        <v>-1783</v>
      </c>
      <c r="F1056" s="616">
        <f t="shared" si="140"/>
        <v>0</v>
      </c>
      <c r="G1056" s="616">
        <f>G1013+G1055</f>
        <v>-1783</v>
      </c>
      <c r="H1056" s="616" t="e">
        <f t="shared" si="140"/>
        <v>#VALUE!</v>
      </c>
      <c r="I1056" s="639">
        <f t="shared" si="137"/>
        <v>0</v>
      </c>
      <c r="J1056" s="567"/>
      <c r="K1056" s="568"/>
    </row>
    <row r="1057" spans="1:11" x14ac:dyDescent="0.25">
      <c r="A1057" s="590"/>
      <c r="B1057" s="561" t="s">
        <v>370</v>
      </c>
      <c r="C1057" s="616">
        <v>25500</v>
      </c>
      <c r="D1057" s="616">
        <v>10305</v>
      </c>
      <c r="E1057" s="616"/>
      <c r="F1057" s="616">
        <v>0</v>
      </c>
      <c r="G1057" s="616"/>
      <c r="H1057" s="616"/>
      <c r="I1057" s="639">
        <f t="shared" si="137"/>
        <v>0</v>
      </c>
      <c r="J1057" s="567"/>
      <c r="K1057" s="568"/>
    </row>
    <row r="1058" spans="1:11" x14ac:dyDescent="0.25">
      <c r="A1058" s="590"/>
      <c r="B1058" s="561" t="s">
        <v>465</v>
      </c>
      <c r="C1058" s="616">
        <f>C1056-C1057</f>
        <v>-20664.020000000019</v>
      </c>
      <c r="D1058" s="616">
        <f t="shared" ref="D1058:H1058" si="141">D1056-D1057</f>
        <v>313480.76</v>
      </c>
      <c r="E1058" s="616">
        <f>E1056-E1057</f>
        <v>-1783</v>
      </c>
      <c r="F1058" s="616">
        <f t="shared" si="141"/>
        <v>0</v>
      </c>
      <c r="G1058" s="616">
        <f>G1056-G1057</f>
        <v>-1783</v>
      </c>
      <c r="H1058" s="616" t="e">
        <f t="shared" si="141"/>
        <v>#VALUE!</v>
      </c>
      <c r="I1058" s="639">
        <f t="shared" si="137"/>
        <v>0</v>
      </c>
      <c r="J1058" s="567"/>
      <c r="K1058" s="568"/>
    </row>
    <row r="1059" spans="1:11" s="569" customFormat="1" x14ac:dyDescent="0.25">
      <c r="A1059" s="560"/>
      <c r="B1059" s="561"/>
      <c r="C1059" s="564"/>
      <c r="D1059" s="581"/>
      <c r="E1059" s="581"/>
      <c r="F1059" s="564"/>
      <c r="G1059" s="581"/>
      <c r="H1059" s="581"/>
      <c r="I1059" s="581"/>
      <c r="J1059" s="567"/>
      <c r="K1059" s="752"/>
    </row>
    <row r="1060" spans="1:11" x14ac:dyDescent="0.25">
      <c r="A1060" s="686">
        <v>140</v>
      </c>
      <c r="B1060" s="628" t="s">
        <v>517</v>
      </c>
      <c r="C1060" s="630">
        <v>2017</v>
      </c>
      <c r="D1060" s="629" t="s">
        <v>1236</v>
      </c>
      <c r="E1060" s="629">
        <v>2018</v>
      </c>
      <c r="F1060" s="630" t="s">
        <v>1236</v>
      </c>
      <c r="G1060" s="631" t="s">
        <v>4</v>
      </c>
      <c r="H1060" s="631">
        <v>2019</v>
      </c>
      <c r="I1060" s="627" t="s">
        <v>5</v>
      </c>
      <c r="J1060" s="567"/>
      <c r="K1060" s="568"/>
    </row>
    <row r="1061" spans="1:11" x14ac:dyDescent="0.25">
      <c r="A1061" s="560"/>
      <c r="B1061" s="561"/>
      <c r="C1061" s="630" t="s">
        <v>6</v>
      </c>
      <c r="D1061" s="634">
        <v>43069</v>
      </c>
      <c r="E1061" s="629" t="s">
        <v>6</v>
      </c>
      <c r="F1061" s="634">
        <v>43131</v>
      </c>
      <c r="G1061" s="635" t="s">
        <v>1131</v>
      </c>
      <c r="H1061" s="635" t="s">
        <v>6</v>
      </c>
      <c r="I1061" s="627" t="s">
        <v>7</v>
      </c>
      <c r="J1061" s="567"/>
      <c r="K1061" s="568"/>
    </row>
    <row r="1062" spans="1:11" x14ac:dyDescent="0.25">
      <c r="A1062" s="580" t="s">
        <v>518</v>
      </c>
      <c r="B1062" s="561"/>
      <c r="C1062" s="563">
        <f>D1079</f>
        <v>19057.45</v>
      </c>
      <c r="D1062" s="563">
        <v>19057.45</v>
      </c>
      <c r="E1062" s="563">
        <v>19200</v>
      </c>
      <c r="F1062" s="566"/>
      <c r="G1062" s="566">
        <v>19200</v>
      </c>
      <c r="H1062" s="566"/>
      <c r="I1062" s="581"/>
      <c r="J1062" s="567"/>
      <c r="K1062" s="568"/>
    </row>
    <row r="1063" spans="1:11" x14ac:dyDescent="0.25">
      <c r="A1063" s="560"/>
      <c r="B1063" s="561" t="s">
        <v>519</v>
      </c>
      <c r="C1063" s="581"/>
      <c r="D1063" s="581"/>
      <c r="E1063" s="581"/>
      <c r="F1063" s="581"/>
      <c r="G1063" s="581"/>
      <c r="H1063" s="581"/>
      <c r="I1063" s="581"/>
      <c r="J1063" s="567"/>
      <c r="K1063" s="568"/>
    </row>
    <row r="1064" spans="1:11" x14ac:dyDescent="0.25">
      <c r="A1064" s="560" t="s">
        <v>520</v>
      </c>
      <c r="B1064" s="561" t="s">
        <v>521</v>
      </c>
      <c r="C1064" s="581"/>
      <c r="D1064" s="581"/>
      <c r="E1064" s="581"/>
      <c r="F1064" s="581"/>
      <c r="G1064" s="581"/>
      <c r="H1064" s="581"/>
      <c r="I1064" s="581"/>
      <c r="J1064" s="567"/>
      <c r="K1064" s="568"/>
    </row>
    <row r="1065" spans="1:11" x14ac:dyDescent="0.25">
      <c r="A1065" s="590">
        <v>32340</v>
      </c>
      <c r="B1065" s="576" t="s">
        <v>29</v>
      </c>
      <c r="C1065" s="562"/>
      <c r="D1065" s="562">
        <v>0</v>
      </c>
      <c r="E1065" s="562">
        <v>0</v>
      </c>
      <c r="F1065" s="581">
        <v>0</v>
      </c>
      <c r="G1065" s="581">
        <v>0</v>
      </c>
      <c r="H1065" s="581">
        <v>0</v>
      </c>
      <c r="I1065" s="639" t="e">
        <f>F1065/C1065</f>
        <v>#DIV/0!</v>
      </c>
      <c r="J1065" s="567"/>
      <c r="K1065" s="568"/>
    </row>
    <row r="1066" spans="1:11" x14ac:dyDescent="0.25">
      <c r="A1066" s="590">
        <v>34310</v>
      </c>
      <c r="B1066" s="576" t="s">
        <v>522</v>
      </c>
      <c r="C1066" s="562"/>
      <c r="D1066" s="562">
        <v>0</v>
      </c>
      <c r="E1066" s="562">
        <v>0.01</v>
      </c>
      <c r="F1066" s="581">
        <v>0</v>
      </c>
      <c r="G1066" s="581">
        <v>0</v>
      </c>
      <c r="H1066" s="581">
        <v>0</v>
      </c>
      <c r="I1066" s="639" t="e">
        <f>F1066/C1066</f>
        <v>#DIV/0!</v>
      </c>
      <c r="J1066" s="567"/>
      <c r="K1066" s="568"/>
    </row>
    <row r="1067" spans="1:11" x14ac:dyDescent="0.25">
      <c r="A1067" s="590">
        <v>38102</v>
      </c>
      <c r="B1067" s="576" t="s">
        <v>523</v>
      </c>
      <c r="C1067" s="562"/>
      <c r="D1067" s="562">
        <v>0</v>
      </c>
      <c r="E1067" s="562">
        <v>0.01</v>
      </c>
      <c r="F1067" s="581">
        <v>0</v>
      </c>
      <c r="G1067" s="581">
        <v>0</v>
      </c>
      <c r="H1067" s="581">
        <v>0</v>
      </c>
      <c r="I1067" s="639" t="e">
        <f>F1067/C1067</f>
        <v>#DIV/0!</v>
      </c>
      <c r="J1067" s="567"/>
      <c r="K1067" s="568"/>
    </row>
    <row r="1068" spans="1:11" x14ac:dyDescent="0.25">
      <c r="A1068" s="590"/>
      <c r="B1068" s="561" t="s">
        <v>524</v>
      </c>
      <c r="C1068" s="563">
        <f>SUM(C1065:C1067)</f>
        <v>0</v>
      </c>
      <c r="D1068" s="563">
        <f t="shared" ref="D1068:H1068" si="142">SUM(D1065:D1067)</f>
        <v>0</v>
      </c>
      <c r="E1068" s="563">
        <f>SUM(E1065:E1067)</f>
        <v>0.02</v>
      </c>
      <c r="F1068" s="563">
        <f t="shared" si="142"/>
        <v>0</v>
      </c>
      <c r="G1068" s="563">
        <f>SUM(G1065:G1067)</f>
        <v>0</v>
      </c>
      <c r="H1068" s="563">
        <f t="shared" si="142"/>
        <v>0</v>
      </c>
      <c r="I1068" s="639" t="e">
        <f>F1068/C1068</f>
        <v>#DIV/0!</v>
      </c>
      <c r="J1068" s="567"/>
      <c r="K1068" s="568"/>
    </row>
    <row r="1069" spans="1:11" s="569" customFormat="1" x14ac:dyDescent="0.25">
      <c r="A1069" s="560"/>
      <c r="B1069" s="561"/>
      <c r="C1069" s="564"/>
      <c r="D1069" s="581"/>
      <c r="E1069" s="581"/>
      <c r="F1069" s="564"/>
      <c r="G1069" s="581"/>
      <c r="H1069" s="581"/>
      <c r="I1069" s="581"/>
      <c r="J1069" s="567"/>
      <c r="K1069" s="568"/>
    </row>
    <row r="1070" spans="1:11" x14ac:dyDescent="0.25">
      <c r="A1070" s="749" t="s">
        <v>525</v>
      </c>
      <c r="B1070" s="624" t="s">
        <v>526</v>
      </c>
      <c r="C1070" s="625">
        <v>2017</v>
      </c>
      <c r="D1070" s="631" t="s">
        <v>1236</v>
      </c>
      <c r="E1070" s="631">
        <v>2018</v>
      </c>
      <c r="F1070" s="625" t="s">
        <v>1236</v>
      </c>
      <c r="G1070" s="631" t="s">
        <v>4</v>
      </c>
      <c r="H1070" s="631">
        <v>2019</v>
      </c>
      <c r="I1070" s="626" t="s">
        <v>5</v>
      </c>
      <c r="J1070" s="567"/>
      <c r="K1070" s="568"/>
    </row>
    <row r="1071" spans="1:11" x14ac:dyDescent="0.25">
      <c r="A1071" s="560"/>
      <c r="B1071" s="561"/>
      <c r="C1071" s="625" t="s">
        <v>6</v>
      </c>
      <c r="D1071" s="635">
        <v>43069</v>
      </c>
      <c r="E1071" s="631" t="s">
        <v>6</v>
      </c>
      <c r="F1071" s="635">
        <v>43131</v>
      </c>
      <c r="G1071" s="635" t="s">
        <v>1131</v>
      </c>
      <c r="H1071" s="635" t="s">
        <v>6</v>
      </c>
      <c r="I1071" s="626" t="s">
        <v>92</v>
      </c>
      <c r="J1071" s="567"/>
      <c r="K1071" s="568"/>
    </row>
    <row r="1072" spans="1:11" x14ac:dyDescent="0.25">
      <c r="A1072" s="575">
        <v>69090</v>
      </c>
      <c r="B1072" s="576" t="s">
        <v>527</v>
      </c>
      <c r="C1072" s="581">
        <v>1E-3</v>
      </c>
      <c r="D1072" s="581">
        <v>0</v>
      </c>
      <c r="E1072" s="581">
        <v>0</v>
      </c>
      <c r="F1072" s="581">
        <v>0</v>
      </c>
      <c r="G1072" s="581">
        <v>0</v>
      </c>
      <c r="H1072" s="581">
        <v>0</v>
      </c>
      <c r="I1072" s="639">
        <f t="shared" ref="I1072:I1079" si="143">F1072/C1072</f>
        <v>0</v>
      </c>
      <c r="J1072" s="567"/>
      <c r="K1072" s="568"/>
    </row>
    <row r="1073" spans="1:11" x14ac:dyDescent="0.25">
      <c r="A1073" s="590">
        <v>69900</v>
      </c>
      <c r="B1073" s="576" t="s">
        <v>237</v>
      </c>
      <c r="C1073" s="562">
        <v>0.01</v>
      </c>
      <c r="D1073" s="562">
        <v>0</v>
      </c>
      <c r="E1073" s="562">
        <f>0.01</f>
        <v>0.01</v>
      </c>
      <c r="F1073" s="581">
        <v>0</v>
      </c>
      <c r="G1073" s="581">
        <v>0</v>
      </c>
      <c r="H1073" s="581">
        <v>0</v>
      </c>
      <c r="I1073" s="639">
        <f t="shared" si="143"/>
        <v>0</v>
      </c>
      <c r="J1073" s="567"/>
      <c r="K1073" s="568"/>
    </row>
    <row r="1074" spans="1:11" x14ac:dyDescent="0.25">
      <c r="A1074" s="560"/>
      <c r="B1074" s="561" t="s">
        <v>449</v>
      </c>
      <c r="C1074" s="563">
        <f>C1068</f>
        <v>0</v>
      </c>
      <c r="D1074" s="563">
        <f t="shared" ref="D1074:H1074" si="144">D1068</f>
        <v>0</v>
      </c>
      <c r="E1074" s="563">
        <f>E1068</f>
        <v>0.02</v>
      </c>
      <c r="F1074" s="563">
        <f t="shared" si="144"/>
        <v>0</v>
      </c>
      <c r="G1074" s="563">
        <f>G1068</f>
        <v>0</v>
      </c>
      <c r="H1074" s="563">
        <f t="shared" si="144"/>
        <v>0</v>
      </c>
      <c r="I1074" s="639" t="e">
        <f t="shared" si="143"/>
        <v>#DIV/0!</v>
      </c>
      <c r="J1074" s="567"/>
      <c r="K1074" s="568"/>
    </row>
    <row r="1075" spans="1:11" x14ac:dyDescent="0.25">
      <c r="A1075" s="560"/>
      <c r="B1075" s="561" t="s">
        <v>116</v>
      </c>
      <c r="C1075" s="563">
        <f>C1072+C1073</f>
        <v>1.0999999999999999E-2</v>
      </c>
      <c r="D1075" s="563">
        <f t="shared" ref="D1075:H1075" si="145">D1072+D1073</f>
        <v>0</v>
      </c>
      <c r="E1075" s="563">
        <f>E1072+E1073</f>
        <v>0.01</v>
      </c>
      <c r="F1075" s="563">
        <f t="shared" si="145"/>
        <v>0</v>
      </c>
      <c r="G1075" s="563">
        <f>G1072+G1073</f>
        <v>0</v>
      </c>
      <c r="H1075" s="563">
        <f t="shared" si="145"/>
        <v>0</v>
      </c>
      <c r="I1075" s="639">
        <f t="shared" si="143"/>
        <v>0</v>
      </c>
      <c r="J1075" s="567"/>
      <c r="K1075" s="568"/>
    </row>
    <row r="1076" spans="1:11" x14ac:dyDescent="0.25">
      <c r="A1076" s="560"/>
      <c r="B1076" s="561" t="s">
        <v>463</v>
      </c>
      <c r="C1076" s="563">
        <f>C1074-C1075</f>
        <v>-1.0999999999999999E-2</v>
      </c>
      <c r="D1076" s="563">
        <f>D1074-D1075</f>
        <v>0</v>
      </c>
      <c r="E1076" s="563"/>
      <c r="F1076" s="563">
        <f>F1074-F1075</f>
        <v>0</v>
      </c>
      <c r="G1076" s="563">
        <f>G1074-G1075</f>
        <v>0</v>
      </c>
      <c r="H1076" s="563">
        <f>H1074-H1075</f>
        <v>0</v>
      </c>
      <c r="I1076" s="639">
        <f t="shared" si="143"/>
        <v>0</v>
      </c>
      <c r="J1076" s="567"/>
      <c r="K1076" s="568"/>
    </row>
    <row r="1077" spans="1:11" x14ac:dyDescent="0.25">
      <c r="A1077" s="560"/>
      <c r="B1077" s="561" t="s">
        <v>451</v>
      </c>
      <c r="C1077" s="563">
        <f>C1062+C1076</f>
        <v>19057.439000000002</v>
      </c>
      <c r="D1077" s="563">
        <f t="shared" ref="D1077:H1077" si="146">D1062+D1076</f>
        <v>19057.45</v>
      </c>
      <c r="E1077" s="563">
        <f>E1062+E1076</f>
        <v>19200</v>
      </c>
      <c r="F1077" s="563">
        <f t="shared" si="146"/>
        <v>0</v>
      </c>
      <c r="G1077" s="563">
        <f>G1062+G1076</f>
        <v>19200</v>
      </c>
      <c r="H1077" s="563">
        <f t="shared" si="146"/>
        <v>0</v>
      </c>
      <c r="I1077" s="639">
        <f t="shared" si="143"/>
        <v>0</v>
      </c>
      <c r="J1077" s="567"/>
      <c r="K1077" s="568"/>
    </row>
    <row r="1078" spans="1:11" x14ac:dyDescent="0.25">
      <c r="A1078" s="560"/>
      <c r="B1078" s="561" t="s">
        <v>370</v>
      </c>
      <c r="C1078" s="562">
        <v>0.01</v>
      </c>
      <c r="D1078" s="563"/>
      <c r="E1078" s="563">
        <v>0.01</v>
      </c>
      <c r="F1078" s="562">
        <v>0.01</v>
      </c>
      <c r="G1078" s="562">
        <v>0</v>
      </c>
      <c r="H1078" s="562">
        <v>0</v>
      </c>
      <c r="I1078" s="639">
        <f t="shared" si="143"/>
        <v>1</v>
      </c>
      <c r="J1078" s="567"/>
      <c r="K1078" s="568"/>
    </row>
    <row r="1079" spans="1:11" x14ac:dyDescent="0.25">
      <c r="A1079" s="560"/>
      <c r="B1079" s="561" t="s">
        <v>465</v>
      </c>
      <c r="C1079" s="566">
        <f>C1077-C1078</f>
        <v>19057.429000000004</v>
      </c>
      <c r="D1079" s="566">
        <f t="shared" ref="D1079:H1079" si="147">D1077-D1078</f>
        <v>19057.45</v>
      </c>
      <c r="E1079" s="566">
        <f>E1077-E1078</f>
        <v>19199.990000000002</v>
      </c>
      <c r="F1079" s="566">
        <f t="shared" si="147"/>
        <v>-0.01</v>
      </c>
      <c r="G1079" s="566">
        <f>G1077-G1078</f>
        <v>19200</v>
      </c>
      <c r="H1079" s="566">
        <f t="shared" si="147"/>
        <v>0</v>
      </c>
      <c r="I1079" s="639">
        <f t="shared" si="143"/>
        <v>-5.2472975237110934E-7</v>
      </c>
      <c r="J1079" s="567"/>
      <c r="K1079" s="568"/>
    </row>
    <row r="1080" spans="1:11" x14ac:dyDescent="0.25">
      <c r="A1080" s="575"/>
      <c r="B1080" s="576"/>
      <c r="C1080" s="564"/>
      <c r="D1080" s="581"/>
      <c r="E1080" s="581"/>
      <c r="F1080" s="564"/>
      <c r="G1080" s="581"/>
      <c r="H1080" s="581"/>
      <c r="I1080" s="581"/>
      <c r="J1080" s="567"/>
      <c r="K1080" s="568"/>
    </row>
    <row r="1081" spans="1:11" s="569" customFormat="1" x14ac:dyDescent="0.25">
      <c r="A1081" s="575"/>
      <c r="B1081" s="576"/>
      <c r="C1081" s="564"/>
      <c r="D1081" s="581"/>
      <c r="E1081" s="581"/>
      <c r="F1081" s="564"/>
      <c r="G1081" s="581"/>
      <c r="H1081" s="581"/>
      <c r="I1081" s="581"/>
      <c r="J1081" s="567"/>
      <c r="K1081" s="568"/>
    </row>
    <row r="1082" spans="1:11" x14ac:dyDescent="0.25">
      <c r="A1082" s="686">
        <v>150</v>
      </c>
      <c r="B1082" s="628" t="s">
        <v>528</v>
      </c>
      <c r="C1082" s="630">
        <v>2017</v>
      </c>
      <c r="D1082" s="629" t="s">
        <v>1236</v>
      </c>
      <c r="E1082" s="629">
        <v>2018</v>
      </c>
      <c r="F1082" s="630" t="s">
        <v>1236</v>
      </c>
      <c r="G1082" s="631" t="s">
        <v>4</v>
      </c>
      <c r="H1082" s="631">
        <v>2019</v>
      </c>
      <c r="I1082" s="627" t="s">
        <v>5</v>
      </c>
      <c r="J1082" s="567"/>
      <c r="K1082" s="568"/>
    </row>
    <row r="1083" spans="1:11" x14ac:dyDescent="0.25">
      <c r="A1083" s="560"/>
      <c r="B1083" s="561" t="s">
        <v>1288</v>
      </c>
      <c r="C1083" s="630" t="s">
        <v>6</v>
      </c>
      <c r="D1083" s="634">
        <v>43069</v>
      </c>
      <c r="E1083" s="629" t="s">
        <v>6</v>
      </c>
      <c r="F1083" s="634">
        <v>43131</v>
      </c>
      <c r="G1083" s="635" t="s">
        <v>1131</v>
      </c>
      <c r="H1083" s="635" t="s">
        <v>6</v>
      </c>
      <c r="I1083" s="627" t="s">
        <v>7</v>
      </c>
      <c r="J1083" s="567"/>
      <c r="K1083" s="568"/>
    </row>
    <row r="1084" spans="1:11" x14ac:dyDescent="0.25">
      <c r="A1084" s="580" t="s">
        <v>518</v>
      </c>
      <c r="B1084" s="561"/>
      <c r="C1084" s="566">
        <v>111516.4</v>
      </c>
      <c r="D1084" s="581"/>
      <c r="E1084" s="566">
        <v>88343</v>
      </c>
      <c r="F1084" s="566"/>
      <c r="G1084" s="566">
        <f>E1084+E1102-E1103</f>
        <v>83001</v>
      </c>
      <c r="H1084" s="754"/>
      <c r="I1084" s="581"/>
      <c r="J1084" s="567"/>
      <c r="K1084" s="568"/>
    </row>
    <row r="1085" spans="1:11" x14ac:dyDescent="0.25">
      <c r="A1085" s="560" t="s">
        <v>529</v>
      </c>
      <c r="B1085" s="561" t="s">
        <v>530</v>
      </c>
      <c r="C1085" s="581"/>
      <c r="D1085" s="581"/>
      <c r="E1085" s="581"/>
      <c r="F1085" s="581"/>
      <c r="G1085" s="753"/>
      <c r="H1085" s="753"/>
      <c r="I1085" s="581"/>
      <c r="J1085" s="567"/>
      <c r="K1085" s="568"/>
    </row>
    <row r="1086" spans="1:11" x14ac:dyDescent="0.25">
      <c r="A1086" s="560"/>
      <c r="B1086" s="561" t="s">
        <v>345</v>
      </c>
      <c r="C1086" s="581"/>
      <c r="D1086" s="581"/>
      <c r="E1086" s="581"/>
      <c r="F1086" s="581"/>
      <c r="G1086" s="753"/>
      <c r="H1086" s="753"/>
      <c r="I1086" s="581"/>
      <c r="J1086" s="567"/>
      <c r="K1086" s="568"/>
    </row>
    <row r="1087" spans="1:11" x14ac:dyDescent="0.25">
      <c r="A1087" s="590">
        <v>31100</v>
      </c>
      <c r="B1087" s="576" t="s">
        <v>1275</v>
      </c>
      <c r="C1087" s="581">
        <v>13000</v>
      </c>
      <c r="D1087" s="581">
        <v>16624.28</v>
      </c>
      <c r="E1087" s="581">
        <v>16108</v>
      </c>
      <c r="F1087" s="581">
        <v>0</v>
      </c>
      <c r="G1087" s="581">
        <v>16108</v>
      </c>
      <c r="H1087" s="581"/>
      <c r="I1087" s="639">
        <f>F1087/C1087</f>
        <v>0</v>
      </c>
      <c r="J1087" s="567"/>
      <c r="K1087" s="568"/>
    </row>
    <row r="1088" spans="1:11" x14ac:dyDescent="0.25">
      <c r="A1088" s="590">
        <v>31200</v>
      </c>
      <c r="B1088" s="576" t="s">
        <v>346</v>
      </c>
      <c r="C1088" s="581">
        <v>720</v>
      </c>
      <c r="D1088" s="581">
        <v>1163.67</v>
      </c>
      <c r="E1088" s="581">
        <v>1000</v>
      </c>
      <c r="F1088" s="581">
        <v>0</v>
      </c>
      <c r="G1088" s="581">
        <v>1000</v>
      </c>
      <c r="H1088" s="581"/>
      <c r="I1088" s="639">
        <f>F1088/C1088</f>
        <v>0</v>
      </c>
      <c r="J1088" s="567"/>
      <c r="K1088" s="568"/>
    </row>
    <row r="1089" spans="1:11" x14ac:dyDescent="0.25">
      <c r="A1089" s="590">
        <v>31250</v>
      </c>
      <c r="B1089" s="576" t="s">
        <v>13</v>
      </c>
      <c r="C1089" s="581">
        <v>45</v>
      </c>
      <c r="D1089" s="581">
        <v>64.55</v>
      </c>
      <c r="E1089" s="581">
        <v>350</v>
      </c>
      <c r="F1089" s="581">
        <v>0</v>
      </c>
      <c r="G1089" s="581">
        <v>350</v>
      </c>
      <c r="H1089" s="581"/>
      <c r="I1089" s="639">
        <f>F1089/C1089</f>
        <v>0</v>
      </c>
      <c r="J1089" s="567"/>
      <c r="K1089" s="568"/>
    </row>
    <row r="1090" spans="1:11" x14ac:dyDescent="0.25">
      <c r="A1090" s="590">
        <v>30000</v>
      </c>
      <c r="B1090" s="576" t="s">
        <v>530</v>
      </c>
      <c r="C1090" s="581">
        <v>215</v>
      </c>
      <c r="D1090" s="581">
        <v>0</v>
      </c>
      <c r="E1090" s="581">
        <v>600</v>
      </c>
      <c r="F1090" s="581"/>
      <c r="G1090" s="581">
        <v>600</v>
      </c>
      <c r="H1090" s="581"/>
      <c r="I1090" s="639"/>
      <c r="J1090" s="567"/>
      <c r="K1090" s="568"/>
    </row>
    <row r="1091" spans="1:11" x14ac:dyDescent="0.25">
      <c r="A1091" s="590">
        <v>38102</v>
      </c>
      <c r="B1091" s="576" t="s">
        <v>531</v>
      </c>
      <c r="C1091" s="581">
        <v>0</v>
      </c>
      <c r="D1091" s="581">
        <v>0</v>
      </c>
      <c r="E1091" s="581">
        <v>0</v>
      </c>
      <c r="F1091" s="581"/>
      <c r="G1091" s="581">
        <v>0</v>
      </c>
      <c r="H1091" s="581"/>
      <c r="I1091" s="639" t="e">
        <f>F1091/C1091</f>
        <v>#DIV/0!</v>
      </c>
      <c r="J1091" s="567"/>
      <c r="K1091" s="568"/>
    </row>
    <row r="1092" spans="1:11" x14ac:dyDescent="0.25">
      <c r="A1092" s="596"/>
      <c r="B1092" s="583" t="s">
        <v>347</v>
      </c>
      <c r="C1092" s="587">
        <f>SUM(C1087:C1091)</f>
        <v>13980</v>
      </c>
      <c r="D1092" s="587">
        <f t="shared" ref="D1092:H1092" si="148">SUM(D1087:D1091)</f>
        <v>17852.499999999996</v>
      </c>
      <c r="E1092" s="587">
        <f>SUM(E1087:E1091)</f>
        <v>18058</v>
      </c>
      <c r="F1092" s="587">
        <f t="shared" si="148"/>
        <v>0</v>
      </c>
      <c r="G1092" s="587">
        <f>SUM(G1087:G1091)</f>
        <v>18058</v>
      </c>
      <c r="H1092" s="587">
        <f t="shared" si="148"/>
        <v>0</v>
      </c>
      <c r="I1092" s="639">
        <f>F1092/C1092</f>
        <v>0</v>
      </c>
      <c r="J1092" s="567"/>
      <c r="K1092" s="568"/>
    </row>
    <row r="1093" spans="1:11" s="569" customFormat="1" x14ac:dyDescent="0.25">
      <c r="A1093" s="596"/>
      <c r="B1093" s="561" t="s">
        <v>524</v>
      </c>
      <c r="C1093" s="581">
        <f>C1092</f>
        <v>13980</v>
      </c>
      <c r="D1093" s="581">
        <f t="shared" ref="D1093:H1093" si="149">D1092</f>
        <v>17852.499999999996</v>
      </c>
      <c r="E1093" s="581">
        <f>E1092</f>
        <v>18058</v>
      </c>
      <c r="F1093" s="581">
        <f t="shared" si="149"/>
        <v>0</v>
      </c>
      <c r="G1093" s="581">
        <f>G1092</f>
        <v>18058</v>
      </c>
      <c r="H1093" s="581">
        <f t="shared" si="149"/>
        <v>0</v>
      </c>
      <c r="I1093" s="639">
        <f>F1093/C1093</f>
        <v>0</v>
      </c>
      <c r="J1093" s="567"/>
      <c r="K1093" s="568"/>
    </row>
    <row r="1094" spans="1:11" x14ac:dyDescent="0.25">
      <c r="A1094" s="749" t="s">
        <v>532</v>
      </c>
      <c r="B1094" s="624" t="s">
        <v>533</v>
      </c>
      <c r="C1094" s="630">
        <v>2017</v>
      </c>
      <c r="D1094" s="629" t="s">
        <v>1236</v>
      </c>
      <c r="E1094" s="629">
        <v>2018</v>
      </c>
      <c r="F1094" s="630" t="s">
        <v>1236</v>
      </c>
      <c r="G1094" s="631" t="s">
        <v>4</v>
      </c>
      <c r="H1094" s="631">
        <v>2019</v>
      </c>
      <c r="I1094" s="627" t="s">
        <v>5</v>
      </c>
      <c r="J1094" s="567"/>
      <c r="K1094" s="568"/>
    </row>
    <row r="1095" spans="1:11" x14ac:dyDescent="0.25">
      <c r="A1095" s="580"/>
      <c r="B1095" s="561"/>
      <c r="C1095" s="630" t="s">
        <v>6</v>
      </c>
      <c r="D1095" s="634">
        <v>43069</v>
      </c>
      <c r="E1095" s="629" t="s">
        <v>6</v>
      </c>
      <c r="F1095" s="634">
        <v>43131</v>
      </c>
      <c r="G1095" s="635" t="s">
        <v>1131</v>
      </c>
      <c r="H1095" s="635" t="s">
        <v>6</v>
      </c>
      <c r="I1095" s="627" t="s">
        <v>92</v>
      </c>
      <c r="J1095" s="567"/>
      <c r="K1095" s="568"/>
    </row>
    <row r="1096" spans="1:11" x14ac:dyDescent="0.25">
      <c r="A1096" s="575">
        <v>69999</v>
      </c>
      <c r="B1096" s="576" t="s">
        <v>203</v>
      </c>
      <c r="C1096" s="582">
        <v>500</v>
      </c>
      <c r="D1096" s="582">
        <v>0</v>
      </c>
      <c r="E1096" s="582">
        <f>2000+10000+4500+1000+5000</f>
        <v>22500</v>
      </c>
      <c r="F1096" s="582"/>
      <c r="G1096" s="582">
        <v>22500</v>
      </c>
      <c r="H1096" s="582"/>
      <c r="I1096" s="639">
        <f>F1096/C1096</f>
        <v>0</v>
      </c>
      <c r="J1096" s="567"/>
      <c r="K1096" s="568"/>
    </row>
    <row r="1097" spans="1:11" x14ac:dyDescent="0.25">
      <c r="A1097" s="575"/>
      <c r="B1097" s="576"/>
      <c r="C1097" s="582"/>
      <c r="D1097" s="582"/>
      <c r="E1097" s="582"/>
      <c r="F1097" s="582"/>
      <c r="G1097" s="582"/>
      <c r="H1097" s="582"/>
      <c r="I1097" s="581"/>
      <c r="J1097" s="567"/>
      <c r="K1097" s="568"/>
    </row>
    <row r="1098" spans="1:11" x14ac:dyDescent="0.25">
      <c r="A1098" s="580" t="s">
        <v>535</v>
      </c>
      <c r="B1098" s="561" t="s">
        <v>536</v>
      </c>
      <c r="C1098" s="582"/>
      <c r="D1098" s="582"/>
      <c r="E1098" s="582"/>
      <c r="F1098" s="582"/>
      <c r="G1098" s="582"/>
      <c r="H1098" s="582"/>
      <c r="I1098" s="581"/>
      <c r="J1098" s="567"/>
      <c r="K1098" s="568"/>
    </row>
    <row r="1099" spans="1:11" x14ac:dyDescent="0.25">
      <c r="A1099" s="575">
        <v>69425</v>
      </c>
      <c r="B1099" s="576" t="s">
        <v>299</v>
      </c>
      <c r="C1099" s="582">
        <v>1000</v>
      </c>
      <c r="D1099" s="582">
        <v>841.11</v>
      </c>
      <c r="E1099" s="582">
        <v>900</v>
      </c>
      <c r="F1099" s="582"/>
      <c r="G1099" s="582">
        <v>900</v>
      </c>
      <c r="H1099" s="582"/>
      <c r="I1099" s="639">
        <f>F1099/C1099</f>
        <v>0</v>
      </c>
      <c r="J1099" s="567"/>
      <c r="K1099" s="568"/>
    </row>
    <row r="1100" spans="1:11" x14ac:dyDescent="0.25">
      <c r="A1100" s="575"/>
      <c r="B1100" s="561" t="s">
        <v>537</v>
      </c>
      <c r="C1100" s="579">
        <f>C1096+C1099</f>
        <v>1500</v>
      </c>
      <c r="D1100" s="579">
        <f>D1096+D1099</f>
        <v>841.11</v>
      </c>
      <c r="E1100" s="579">
        <f>E1096+E1099</f>
        <v>23400</v>
      </c>
      <c r="F1100" s="579">
        <f>F1096+F1099</f>
        <v>0</v>
      </c>
      <c r="G1100" s="579">
        <f>SUM(G1096:G1099)</f>
        <v>23400</v>
      </c>
      <c r="H1100" s="579">
        <f>SUM(H1096:H1098)</f>
        <v>0</v>
      </c>
      <c r="I1100" s="639">
        <f>F1100/C1100</f>
        <v>0</v>
      </c>
      <c r="J1100" s="567"/>
      <c r="K1100" s="568"/>
    </row>
    <row r="1101" spans="1:11" x14ac:dyDescent="0.25">
      <c r="A1101" s="575"/>
      <c r="B1101" s="576"/>
      <c r="C1101" s="582"/>
      <c r="D1101" s="582"/>
      <c r="E1101" s="582"/>
      <c r="F1101" s="582"/>
      <c r="G1101" s="582"/>
      <c r="H1101" s="582"/>
      <c r="I1101" s="581"/>
      <c r="J1101" s="567"/>
      <c r="K1101" s="568"/>
    </row>
    <row r="1102" spans="1:11" x14ac:dyDescent="0.25">
      <c r="A1102" s="575"/>
      <c r="B1102" s="561" t="s">
        <v>449</v>
      </c>
      <c r="C1102" s="579">
        <f>C1093</f>
        <v>13980</v>
      </c>
      <c r="D1102" s="579">
        <f>D1093</f>
        <v>17852.499999999996</v>
      </c>
      <c r="E1102" s="579">
        <f>E1093</f>
        <v>18058</v>
      </c>
      <c r="F1102" s="579">
        <f>F1092</f>
        <v>0</v>
      </c>
      <c r="G1102" s="579">
        <f>G1092</f>
        <v>18058</v>
      </c>
      <c r="H1102" s="579">
        <f>H1092</f>
        <v>0</v>
      </c>
      <c r="I1102" s="639">
        <f>F1102/C1102</f>
        <v>0</v>
      </c>
      <c r="J1102" s="567"/>
      <c r="K1102" s="568"/>
    </row>
    <row r="1103" spans="1:11" x14ac:dyDescent="0.25">
      <c r="A1103" s="575"/>
      <c r="B1103" s="561" t="s">
        <v>116</v>
      </c>
      <c r="C1103" s="579">
        <f>C1100</f>
        <v>1500</v>
      </c>
      <c r="D1103" s="579">
        <f t="shared" ref="D1103:F1103" si="150">D1100</f>
        <v>841.11</v>
      </c>
      <c r="E1103" s="579">
        <f>E1100</f>
        <v>23400</v>
      </c>
      <c r="F1103" s="579">
        <f t="shared" si="150"/>
        <v>0</v>
      </c>
      <c r="G1103" s="579">
        <f>G1100</f>
        <v>23400</v>
      </c>
      <c r="H1103" s="579">
        <f>H1100</f>
        <v>0</v>
      </c>
      <c r="I1103" s="639">
        <f>F1103/C1103</f>
        <v>0</v>
      </c>
      <c r="J1103" s="567"/>
      <c r="K1103" s="568"/>
    </row>
    <row r="1104" spans="1:11" x14ac:dyDescent="0.25">
      <c r="A1104" s="575"/>
      <c r="B1104" s="561" t="s">
        <v>463</v>
      </c>
      <c r="C1104" s="579">
        <f>C1102-C1103</f>
        <v>12480</v>
      </c>
      <c r="D1104" s="579">
        <f t="shared" ref="D1104:H1104" si="151">D1102-D1103</f>
        <v>17011.389999999996</v>
      </c>
      <c r="E1104" s="579">
        <f>E1102-E1103</f>
        <v>-5342</v>
      </c>
      <c r="F1104" s="579">
        <f t="shared" si="151"/>
        <v>0</v>
      </c>
      <c r="G1104" s="579">
        <f>G1102-G1103</f>
        <v>-5342</v>
      </c>
      <c r="H1104" s="579">
        <f t="shared" si="151"/>
        <v>0</v>
      </c>
      <c r="I1104" s="639">
        <f>F1104/C1104</f>
        <v>0</v>
      </c>
      <c r="J1104" s="567"/>
      <c r="K1104" s="568"/>
    </row>
    <row r="1105" spans="1:11" x14ac:dyDescent="0.25">
      <c r="A1105" s="575"/>
      <c r="B1105" s="561" t="s">
        <v>451</v>
      </c>
      <c r="C1105" s="579">
        <f>C1084+C1104</f>
        <v>123996.4</v>
      </c>
      <c r="D1105" s="579">
        <f>D1084+D1104</f>
        <v>17011.389999999996</v>
      </c>
      <c r="E1105" s="579">
        <f>E1084+E1104</f>
        <v>83001</v>
      </c>
      <c r="F1105" s="579">
        <f t="shared" ref="F1105:H1105" si="152">F1084+F1104</f>
        <v>0</v>
      </c>
      <c r="G1105" s="579">
        <f>G1084+G1104</f>
        <v>77659</v>
      </c>
      <c r="H1105" s="579">
        <f t="shared" si="152"/>
        <v>0</v>
      </c>
      <c r="I1105" s="639">
        <f>F1105/C1105</f>
        <v>0</v>
      </c>
      <c r="J1105" s="567"/>
      <c r="K1105" s="568"/>
    </row>
    <row r="1106" spans="1:11" x14ac:dyDescent="0.25">
      <c r="A1106" s="575"/>
      <c r="B1106" s="561" t="s">
        <v>370</v>
      </c>
      <c r="C1106" s="579">
        <v>1E-3</v>
      </c>
      <c r="D1106" s="579">
        <v>0</v>
      </c>
      <c r="E1106" s="579">
        <v>5500</v>
      </c>
      <c r="F1106" s="579">
        <v>0</v>
      </c>
      <c r="G1106" s="579">
        <v>5500</v>
      </c>
      <c r="H1106" s="579">
        <v>0</v>
      </c>
      <c r="I1106" s="639">
        <f>F1106/C1106</f>
        <v>0</v>
      </c>
      <c r="J1106" s="655"/>
      <c r="K1106" s="568"/>
    </row>
    <row r="1107" spans="1:11" x14ac:dyDescent="0.25">
      <c r="A1107" s="575"/>
      <c r="B1107" s="561" t="s">
        <v>465</v>
      </c>
      <c r="C1107" s="579">
        <f>C1084+C1104</f>
        <v>123996.4</v>
      </c>
      <c r="D1107" s="579">
        <f t="shared" ref="D1107:H1107" si="153">D1105-D1106</f>
        <v>17011.389999999996</v>
      </c>
      <c r="E1107" s="579">
        <f>E1105-E1106</f>
        <v>77501</v>
      </c>
      <c r="F1107" s="579">
        <f t="shared" si="153"/>
        <v>0</v>
      </c>
      <c r="G1107" s="579">
        <f>G1105-G1106</f>
        <v>72159</v>
      </c>
      <c r="H1107" s="579">
        <f t="shared" si="153"/>
        <v>0</v>
      </c>
      <c r="I1107" s="639"/>
      <c r="J1107" s="567"/>
      <c r="K1107" s="568"/>
    </row>
    <row r="1108" spans="1:11" s="569" customFormat="1" x14ac:dyDescent="0.25">
      <c r="A1108" s="575" t="s">
        <v>94</v>
      </c>
      <c r="B1108" s="576"/>
      <c r="C1108" s="564"/>
      <c r="D1108" s="581"/>
      <c r="E1108" s="581"/>
      <c r="F1108" s="564"/>
      <c r="G1108" s="581"/>
      <c r="H1108" s="581"/>
      <c r="I1108" s="581"/>
      <c r="J1108" s="567"/>
      <c r="K1108" s="568"/>
    </row>
    <row r="1109" spans="1:11" x14ac:dyDescent="0.25">
      <c r="A1109" s="686">
        <v>210</v>
      </c>
      <c r="B1109" s="628" t="s">
        <v>538</v>
      </c>
      <c r="C1109" s="630">
        <v>2017</v>
      </c>
      <c r="D1109" s="629" t="s">
        <v>1236</v>
      </c>
      <c r="E1109" s="629">
        <v>2018</v>
      </c>
      <c r="F1109" s="630" t="s">
        <v>1236</v>
      </c>
      <c r="G1109" s="631" t="s">
        <v>4</v>
      </c>
      <c r="H1109" s="631">
        <v>2019</v>
      </c>
      <c r="I1109" s="627" t="s">
        <v>5</v>
      </c>
      <c r="J1109" s="567"/>
      <c r="K1109" s="568"/>
    </row>
    <row r="1110" spans="1:11" x14ac:dyDescent="0.25">
      <c r="A1110" s="590"/>
      <c r="B1110" s="576" t="s">
        <v>93</v>
      </c>
      <c r="C1110" s="630" t="s">
        <v>6</v>
      </c>
      <c r="D1110" s="634">
        <v>43069</v>
      </c>
      <c r="E1110" s="629" t="s">
        <v>6</v>
      </c>
      <c r="F1110" s="634">
        <v>43131</v>
      </c>
      <c r="G1110" s="635" t="s">
        <v>1131</v>
      </c>
      <c r="H1110" s="635" t="s">
        <v>6</v>
      </c>
      <c r="I1110" s="627" t="s">
        <v>7</v>
      </c>
      <c r="J1110" s="567"/>
      <c r="K1110" s="568"/>
    </row>
    <row r="1111" spans="1:11" x14ac:dyDescent="0.25">
      <c r="A1111" s="590"/>
      <c r="B1111" s="576"/>
      <c r="C1111" s="593"/>
      <c r="D1111" s="593"/>
      <c r="E1111" s="593"/>
      <c r="F1111" s="581"/>
      <c r="G1111" s="581"/>
      <c r="H1111" s="581"/>
      <c r="I1111" s="581"/>
      <c r="J1111" s="567"/>
      <c r="K1111" s="568"/>
    </row>
    <row r="1112" spans="1:11" x14ac:dyDescent="0.25">
      <c r="A1112" s="561" t="s">
        <v>1233</v>
      </c>
      <c r="B1112" s="576"/>
      <c r="C1112" s="566">
        <v>23547</v>
      </c>
      <c r="D1112" s="947"/>
      <c r="E1112" s="566">
        <v>6254</v>
      </c>
      <c r="F1112" s="947"/>
      <c r="G1112" s="579">
        <f>E1112+E1146-E1147</f>
        <v>723.62999999999738</v>
      </c>
      <c r="H1112" s="566"/>
      <c r="I1112" s="581"/>
      <c r="J1112" s="567"/>
      <c r="K1112" s="568"/>
    </row>
    <row r="1113" spans="1:11" x14ac:dyDescent="0.25">
      <c r="A1113" s="560"/>
      <c r="B1113" s="756"/>
      <c r="C1113" s="581"/>
      <c r="D1113" s="581"/>
      <c r="E1113" s="581"/>
      <c r="F1113" s="581"/>
      <c r="G1113" s="581"/>
      <c r="H1113" s="581"/>
      <c r="I1113" s="581"/>
      <c r="J1113" s="567"/>
      <c r="K1113" s="568"/>
    </row>
    <row r="1114" spans="1:11" x14ac:dyDescent="0.25">
      <c r="A1114" s="580" t="s">
        <v>539</v>
      </c>
      <c r="B1114" s="561" t="s">
        <v>540</v>
      </c>
      <c r="C1114" s="581"/>
      <c r="D1114" s="581"/>
      <c r="E1114" s="581"/>
      <c r="F1114" s="581"/>
      <c r="G1114" s="581"/>
      <c r="H1114" s="581"/>
      <c r="I1114" s="581"/>
      <c r="J1114" s="567"/>
      <c r="K1114" s="568"/>
    </row>
    <row r="1115" spans="1:11" x14ac:dyDescent="0.25">
      <c r="A1115" s="575"/>
      <c r="B1115" s="576"/>
      <c r="C1115" s="581"/>
      <c r="D1115" s="581"/>
      <c r="E1115" s="581"/>
      <c r="F1115" s="581"/>
      <c r="G1115" s="581"/>
      <c r="H1115" s="581"/>
      <c r="I1115" s="581"/>
      <c r="J1115" s="567"/>
      <c r="K1115" s="568"/>
    </row>
    <row r="1116" spans="1:11" x14ac:dyDescent="0.25">
      <c r="A1116" s="575">
        <v>31100</v>
      </c>
      <c r="B1116" s="576" t="s">
        <v>1125</v>
      </c>
      <c r="C1116" s="562">
        <v>18328</v>
      </c>
      <c r="D1116" s="581">
        <v>17710.900000000001</v>
      </c>
      <c r="E1116" s="581">
        <v>17114.63</v>
      </c>
      <c r="F1116" s="562"/>
      <c r="G1116" s="562">
        <v>17115</v>
      </c>
      <c r="H1116" s="562"/>
      <c r="I1116" s="639">
        <f t="shared" ref="I1116:I1124" si="154">F1116/C1116</f>
        <v>0</v>
      </c>
      <c r="J1116" s="567"/>
      <c r="K1116" s="568"/>
    </row>
    <row r="1117" spans="1:11" x14ac:dyDescent="0.25">
      <c r="A1117" s="575">
        <v>31200</v>
      </c>
      <c r="B1117" s="576" t="s">
        <v>346</v>
      </c>
      <c r="C1117" s="562">
        <v>0</v>
      </c>
      <c r="D1117" s="581">
        <v>1239.06</v>
      </c>
      <c r="E1117" s="581">
        <v>1000</v>
      </c>
      <c r="F1117" s="562"/>
      <c r="G1117" s="562">
        <v>1000</v>
      </c>
      <c r="H1117" s="562"/>
      <c r="I1117" s="639" t="e">
        <f t="shared" si="154"/>
        <v>#DIV/0!</v>
      </c>
      <c r="J1117" s="567"/>
      <c r="K1117" s="568"/>
    </row>
    <row r="1118" spans="1:11" x14ac:dyDescent="0.25">
      <c r="A1118" s="575">
        <v>31250</v>
      </c>
      <c r="B1118" s="576" t="s">
        <v>13</v>
      </c>
      <c r="C1118" s="562">
        <v>0</v>
      </c>
      <c r="D1118" s="581">
        <v>63.92</v>
      </c>
      <c r="E1118" s="581">
        <v>50</v>
      </c>
      <c r="F1118" s="562"/>
      <c r="G1118" s="562">
        <v>50</v>
      </c>
      <c r="H1118" s="562"/>
      <c r="I1118" s="639" t="e">
        <f t="shared" si="154"/>
        <v>#DIV/0!</v>
      </c>
      <c r="J1118" s="567"/>
      <c r="K1118" s="568"/>
    </row>
    <row r="1119" spans="1:11" x14ac:dyDescent="0.25">
      <c r="A1119" s="575">
        <v>32330</v>
      </c>
      <c r="B1119" s="576" t="s">
        <v>541</v>
      </c>
      <c r="C1119" s="562">
        <v>0</v>
      </c>
      <c r="D1119" s="581">
        <v>0</v>
      </c>
      <c r="E1119" s="581">
        <v>0.01</v>
      </c>
      <c r="F1119" s="562"/>
      <c r="G1119" s="562">
        <v>0</v>
      </c>
      <c r="H1119" s="562"/>
      <c r="I1119" s="639" t="e">
        <f t="shared" si="154"/>
        <v>#DIV/0!</v>
      </c>
      <c r="J1119" s="567"/>
      <c r="K1119" s="568"/>
    </row>
    <row r="1120" spans="1:11" x14ac:dyDescent="0.25">
      <c r="A1120" s="575">
        <v>34200</v>
      </c>
      <c r="B1120" s="576" t="s">
        <v>52</v>
      </c>
      <c r="C1120" s="562">
        <v>0</v>
      </c>
      <c r="D1120" s="581">
        <v>0.01</v>
      </c>
      <c r="E1120" s="581">
        <v>0.01</v>
      </c>
      <c r="F1120" s="562"/>
      <c r="G1120" s="562">
        <v>0</v>
      </c>
      <c r="H1120" s="562"/>
      <c r="I1120" s="639" t="e">
        <f t="shared" si="154"/>
        <v>#DIV/0!</v>
      </c>
      <c r="J1120" s="567"/>
      <c r="K1120" s="568"/>
    </row>
    <row r="1121" spans="1:11" x14ac:dyDescent="0.25">
      <c r="A1121" s="575"/>
      <c r="B1121" s="561" t="s">
        <v>542</v>
      </c>
      <c r="C1121" s="562">
        <v>0</v>
      </c>
      <c r="D1121" s="581"/>
      <c r="E1121" s="581"/>
      <c r="F1121" s="581"/>
      <c r="G1121" s="581">
        <v>0</v>
      </c>
      <c r="H1121" s="581"/>
      <c r="I1121" s="581" t="e">
        <f t="shared" si="154"/>
        <v>#DIV/0!</v>
      </c>
      <c r="J1121" s="567"/>
      <c r="K1121" s="568"/>
    </row>
    <row r="1122" spans="1:11" x14ac:dyDescent="0.25">
      <c r="A1122" s="575">
        <v>38090</v>
      </c>
      <c r="B1122" s="576" t="s">
        <v>523</v>
      </c>
      <c r="C1122" s="562">
        <v>17295</v>
      </c>
      <c r="D1122" s="581">
        <v>18295</v>
      </c>
      <c r="E1122" s="581">
        <v>18295</v>
      </c>
      <c r="F1122" s="581"/>
      <c r="G1122" s="581">
        <v>18295</v>
      </c>
      <c r="H1122" s="581"/>
      <c r="I1122" s="639">
        <f t="shared" si="154"/>
        <v>0</v>
      </c>
      <c r="J1122" s="567"/>
      <c r="K1122" s="568"/>
    </row>
    <row r="1123" spans="1:11" x14ac:dyDescent="0.25">
      <c r="A1123" s="575"/>
      <c r="B1123" s="576" t="s">
        <v>543</v>
      </c>
      <c r="C1123" s="562"/>
      <c r="D1123" s="581">
        <v>0</v>
      </c>
      <c r="E1123" s="581"/>
      <c r="F1123" s="581"/>
      <c r="G1123" s="581">
        <v>0</v>
      </c>
      <c r="H1123" s="581"/>
      <c r="I1123" s="639" t="e">
        <f t="shared" si="154"/>
        <v>#DIV/0!</v>
      </c>
      <c r="J1123" s="567"/>
      <c r="K1123" s="568"/>
    </row>
    <row r="1124" spans="1:11" x14ac:dyDescent="0.25">
      <c r="A1124" s="575"/>
      <c r="B1124" s="561" t="s">
        <v>373</v>
      </c>
      <c r="C1124" s="566">
        <f>SUM(C1116:C1123)</f>
        <v>35623</v>
      </c>
      <c r="D1124" s="566">
        <f t="shared" ref="D1124:H1124" si="155">SUM(D1116:D1123)</f>
        <v>37308.89</v>
      </c>
      <c r="E1124" s="566">
        <f>SUM(E1116:E1123)</f>
        <v>36459.649999999994</v>
      </c>
      <c r="F1124" s="566">
        <f t="shared" si="155"/>
        <v>0</v>
      </c>
      <c r="G1124" s="566">
        <f>SUM(G1116:G1123)</f>
        <v>36460</v>
      </c>
      <c r="H1124" s="566">
        <f t="shared" si="155"/>
        <v>0</v>
      </c>
      <c r="I1124" s="639">
        <f t="shared" si="154"/>
        <v>0</v>
      </c>
      <c r="J1124" s="567"/>
      <c r="K1124" s="568"/>
    </row>
    <row r="1125" spans="1:11" s="569" customFormat="1" x14ac:dyDescent="0.25">
      <c r="A1125" s="575"/>
      <c r="B1125" s="561"/>
      <c r="C1125" s="564"/>
      <c r="D1125" s="601"/>
      <c r="E1125" s="601"/>
      <c r="F1125" s="564"/>
      <c r="G1125" s="581"/>
      <c r="H1125" s="581"/>
      <c r="I1125" s="581"/>
      <c r="J1125" s="567"/>
      <c r="K1125" s="568"/>
    </row>
    <row r="1126" spans="1:11" x14ac:dyDescent="0.25">
      <c r="A1126" s="755">
        <v>210</v>
      </c>
      <c r="B1126" s="624" t="s">
        <v>544</v>
      </c>
      <c r="C1126" s="625">
        <v>2017</v>
      </c>
      <c r="D1126" s="631" t="s">
        <v>1236</v>
      </c>
      <c r="E1126" s="631">
        <v>2018</v>
      </c>
      <c r="F1126" s="625" t="s">
        <v>1236</v>
      </c>
      <c r="G1126" s="631" t="s">
        <v>4</v>
      </c>
      <c r="H1126" s="631">
        <v>2019</v>
      </c>
      <c r="I1126" s="626" t="s">
        <v>5</v>
      </c>
      <c r="J1126" s="567"/>
      <c r="K1126" s="568"/>
    </row>
    <row r="1127" spans="1:11" x14ac:dyDescent="0.25">
      <c r="A1127" s="575"/>
      <c r="B1127" s="576"/>
      <c r="C1127" s="625" t="s">
        <v>6</v>
      </c>
      <c r="D1127" s="635">
        <v>43069</v>
      </c>
      <c r="E1127" s="631" t="s">
        <v>6</v>
      </c>
      <c r="F1127" s="635">
        <v>43131</v>
      </c>
      <c r="G1127" s="635" t="s">
        <v>1131</v>
      </c>
      <c r="H1127" s="635" t="s">
        <v>6</v>
      </c>
      <c r="I1127" s="626" t="s">
        <v>92</v>
      </c>
      <c r="J1127" s="567"/>
      <c r="K1127" s="568"/>
    </row>
    <row r="1128" spans="1:11" x14ac:dyDescent="0.25">
      <c r="A1128" s="575">
        <v>62401</v>
      </c>
      <c r="B1128" s="576" t="s">
        <v>545</v>
      </c>
      <c r="C1128" s="581">
        <v>27200</v>
      </c>
      <c r="D1128" s="581">
        <v>16535.740000000002</v>
      </c>
      <c r="E1128" s="581">
        <v>27200</v>
      </c>
      <c r="F1128" s="581"/>
      <c r="G1128" s="581">
        <v>27200</v>
      </c>
      <c r="H1128" s="581"/>
      <c r="I1128" s="639">
        <f>F1128/C1128</f>
        <v>0</v>
      </c>
      <c r="J1128" s="567"/>
      <c r="K1128" s="568"/>
    </row>
    <row r="1129" spans="1:11" x14ac:dyDescent="0.25">
      <c r="A1129" s="575">
        <v>62402</v>
      </c>
      <c r="B1129" s="576" t="s">
        <v>546</v>
      </c>
      <c r="C1129" s="581">
        <v>300</v>
      </c>
      <c r="D1129" s="581">
        <v>0</v>
      </c>
      <c r="E1129" s="581">
        <v>300</v>
      </c>
      <c r="F1129" s="581"/>
      <c r="G1129" s="581">
        <v>300</v>
      </c>
      <c r="H1129" s="581"/>
      <c r="I1129" s="639">
        <f>F1129/C1129</f>
        <v>0</v>
      </c>
      <c r="J1129" s="567"/>
      <c r="K1129" s="568"/>
    </row>
    <row r="1130" spans="1:11" x14ac:dyDescent="0.25">
      <c r="A1130" s="575">
        <v>68905</v>
      </c>
      <c r="B1130" s="576" t="s">
        <v>547</v>
      </c>
      <c r="C1130" s="581">
        <v>5500</v>
      </c>
      <c r="D1130" s="581">
        <v>2829.61</v>
      </c>
      <c r="E1130" s="581">
        <v>5500</v>
      </c>
      <c r="F1130" s="581"/>
      <c r="G1130" s="581">
        <v>5500</v>
      </c>
      <c r="H1130" s="581"/>
      <c r="I1130" s="639">
        <f>F1130/C1130</f>
        <v>0</v>
      </c>
      <c r="J1130" s="567"/>
      <c r="K1130" s="568"/>
    </row>
    <row r="1131" spans="1:11" x14ac:dyDescent="0.25">
      <c r="A1131" s="575">
        <v>68906</v>
      </c>
      <c r="B1131" s="576" t="s">
        <v>548</v>
      </c>
      <c r="C1131" s="581">
        <v>3198</v>
      </c>
      <c r="D1131" s="581">
        <v>1506.5</v>
      </c>
      <c r="E1131" s="581">
        <v>3198</v>
      </c>
      <c r="F1131" s="581"/>
      <c r="G1131" s="581">
        <v>3198</v>
      </c>
      <c r="H1131" s="581"/>
      <c r="I1131" s="639">
        <f>F1131/C1131</f>
        <v>0</v>
      </c>
      <c r="J1131" s="567"/>
      <c r="K1131" s="568"/>
    </row>
    <row r="1132" spans="1:11" x14ac:dyDescent="0.25">
      <c r="A1132" s="575">
        <v>68907</v>
      </c>
      <c r="B1132" s="576" t="s">
        <v>549</v>
      </c>
      <c r="C1132" s="581">
        <v>5792</v>
      </c>
      <c r="D1132" s="581">
        <v>1602.76</v>
      </c>
      <c r="E1132" s="581">
        <v>5792</v>
      </c>
      <c r="F1132" s="581"/>
      <c r="G1132" s="581">
        <v>5792</v>
      </c>
      <c r="H1132" s="581"/>
      <c r="I1132" s="639">
        <f>F1132/C1132</f>
        <v>0</v>
      </c>
      <c r="J1132" s="567"/>
      <c r="K1132" s="568"/>
    </row>
    <row r="1133" spans="1:11" x14ac:dyDescent="0.25">
      <c r="A1133" s="575">
        <v>68908</v>
      </c>
      <c r="B1133" s="576" t="s">
        <v>1231</v>
      </c>
      <c r="C1133" s="581"/>
      <c r="D1133" s="581">
        <v>1729.87</v>
      </c>
      <c r="E1133" s="581"/>
      <c r="F1133" s="581"/>
      <c r="G1133" s="581"/>
      <c r="H1133" s="581"/>
      <c r="I1133" s="639"/>
      <c r="J1133" s="567"/>
      <c r="K1133" s="568"/>
    </row>
    <row r="1134" spans="1:11" x14ac:dyDescent="0.25">
      <c r="A1134" s="575">
        <v>69425</v>
      </c>
      <c r="B1134" s="576" t="s">
        <v>299</v>
      </c>
      <c r="C1134" s="581"/>
      <c r="D1134" s="581">
        <v>895.42</v>
      </c>
      <c r="E1134" s="581"/>
      <c r="F1134" s="581"/>
      <c r="G1134" s="581"/>
      <c r="H1134" s="581"/>
      <c r="I1134" s="639"/>
      <c r="J1134" s="567"/>
      <c r="K1134" s="568"/>
    </row>
    <row r="1135" spans="1:11" x14ac:dyDescent="0.25">
      <c r="A1135" s="575"/>
      <c r="B1135" s="576"/>
      <c r="C1135" s="581"/>
      <c r="D1135" s="581"/>
      <c r="E1135" s="581"/>
      <c r="F1135" s="581"/>
      <c r="G1135" s="581"/>
      <c r="H1135" s="581"/>
      <c r="I1135" s="639"/>
      <c r="J1135" s="567"/>
      <c r="K1135" s="568"/>
    </row>
    <row r="1136" spans="1:11" x14ac:dyDescent="0.25">
      <c r="A1136" s="575"/>
      <c r="B1136" s="561" t="s">
        <v>116</v>
      </c>
      <c r="C1136" s="566">
        <f>SUM(C1128:C1134)</f>
        <v>41990</v>
      </c>
      <c r="D1136" s="566">
        <f>SUM(D1128:D1134)</f>
        <v>25099.899999999998</v>
      </c>
      <c r="E1136" s="566">
        <f>SUM(E1128:E1134)</f>
        <v>41990</v>
      </c>
      <c r="F1136" s="566">
        <f>SUM(F1128:F1134)</f>
        <v>0</v>
      </c>
      <c r="G1136" s="566">
        <f>SUM(G1128:G1134)</f>
        <v>41990</v>
      </c>
      <c r="H1136" s="566">
        <f>SUM(H1128:H1132)</f>
        <v>0</v>
      </c>
      <c r="I1136" s="639">
        <f>F1136/C1136</f>
        <v>0</v>
      </c>
      <c r="J1136" s="567"/>
      <c r="K1136" s="568"/>
    </row>
    <row r="1137" spans="1:11" s="569" customFormat="1" x14ac:dyDescent="0.25">
      <c r="A1137" s="575"/>
      <c r="B1137" s="561"/>
      <c r="C1137" s="564"/>
      <c r="D1137" s="601"/>
      <c r="E1137" s="601"/>
      <c r="F1137" s="564"/>
      <c r="G1137" s="581"/>
      <c r="H1137" s="581"/>
      <c r="I1137" s="581"/>
      <c r="J1137" s="567"/>
      <c r="K1137" s="568"/>
    </row>
    <row r="1138" spans="1:11" x14ac:dyDescent="0.25">
      <c r="A1138" s="757"/>
      <c r="B1138" s="624" t="s">
        <v>550</v>
      </c>
      <c r="C1138" s="625">
        <v>2017</v>
      </c>
      <c r="D1138" s="631" t="s">
        <v>1236</v>
      </c>
      <c r="E1138" s="631">
        <v>2018</v>
      </c>
      <c r="F1138" s="625" t="s">
        <v>1236</v>
      </c>
      <c r="G1138" s="631" t="s">
        <v>4</v>
      </c>
      <c r="H1138" s="631">
        <v>2019</v>
      </c>
      <c r="I1138" s="626" t="s">
        <v>5</v>
      </c>
      <c r="J1138" s="567"/>
      <c r="K1138" s="568"/>
    </row>
    <row r="1139" spans="1:11" x14ac:dyDescent="0.25">
      <c r="A1139" s="575"/>
      <c r="B1139" s="576"/>
      <c r="C1139" s="625" t="s">
        <v>6</v>
      </c>
      <c r="D1139" s="635">
        <v>43069</v>
      </c>
      <c r="E1139" s="631" t="s">
        <v>6</v>
      </c>
      <c r="F1139" s="635">
        <v>43131</v>
      </c>
      <c r="G1139" s="635" t="s">
        <v>1131</v>
      </c>
      <c r="H1139" s="635" t="s">
        <v>6</v>
      </c>
      <c r="I1139" s="626" t="s">
        <v>92</v>
      </c>
      <c r="J1139" s="567"/>
      <c r="K1139" s="568"/>
    </row>
    <row r="1140" spans="1:11" x14ac:dyDescent="0.25">
      <c r="A1140" s="575"/>
      <c r="B1140" s="576" t="s">
        <v>93</v>
      </c>
      <c r="C1140" s="582"/>
      <c r="D1140" s="582"/>
      <c r="E1140" s="582"/>
      <c r="F1140" s="582"/>
      <c r="G1140" s="582"/>
      <c r="H1140" s="582"/>
      <c r="I1140" s="581"/>
      <c r="J1140" s="567"/>
      <c r="K1140" s="568"/>
    </row>
    <row r="1141" spans="1:11" x14ac:dyDescent="0.25">
      <c r="A1141" s="575"/>
      <c r="B1141" s="576"/>
      <c r="C1141" s="582"/>
      <c r="D1141" s="582"/>
      <c r="E1141" s="582"/>
      <c r="F1141" s="582"/>
      <c r="G1141" s="582"/>
      <c r="H1141" s="582"/>
      <c r="I1141" s="581"/>
      <c r="J1141" s="567"/>
      <c r="K1141" s="568"/>
    </row>
    <row r="1142" spans="1:11" x14ac:dyDescent="0.25">
      <c r="A1142" s="575">
        <v>69425</v>
      </c>
      <c r="B1142" s="576" t="s">
        <v>551</v>
      </c>
      <c r="C1142" s="582">
        <v>0.01</v>
      </c>
      <c r="D1142" s="582">
        <v>0</v>
      </c>
      <c r="E1142" s="582">
        <v>0.01</v>
      </c>
      <c r="F1142" s="582"/>
      <c r="G1142" s="582">
        <v>0</v>
      </c>
      <c r="H1142" s="582">
        <v>0</v>
      </c>
      <c r="I1142" s="639">
        <f>F1142/C1142</f>
        <v>0</v>
      </c>
      <c r="J1142" s="567"/>
      <c r="K1142" s="568"/>
    </row>
    <row r="1143" spans="1:11" x14ac:dyDescent="0.25">
      <c r="A1143" s="575"/>
      <c r="B1143" s="576" t="s">
        <v>552</v>
      </c>
      <c r="C1143" s="582">
        <v>0.01</v>
      </c>
      <c r="D1143" s="582">
        <v>0</v>
      </c>
      <c r="E1143" s="582">
        <v>0.01</v>
      </c>
      <c r="F1143" s="582">
        <v>0</v>
      </c>
      <c r="G1143" s="582">
        <v>0</v>
      </c>
      <c r="H1143" s="582">
        <v>0</v>
      </c>
      <c r="I1143" s="639">
        <f>F1143/C1143</f>
        <v>0</v>
      </c>
      <c r="J1143" s="567"/>
      <c r="K1143" s="568"/>
    </row>
    <row r="1144" spans="1:11" x14ac:dyDescent="0.25">
      <c r="A1144" s="575"/>
      <c r="B1144" s="583" t="s">
        <v>242</v>
      </c>
      <c r="C1144" s="589">
        <f>SUM(C1142:C1143)</f>
        <v>0.02</v>
      </c>
      <c r="D1144" s="589">
        <f t="shared" ref="D1144:H1144" si="156">SUM(D1142:D1143)</f>
        <v>0</v>
      </c>
      <c r="E1144" s="589">
        <f>SUM(E1142:E1143)</f>
        <v>0.02</v>
      </c>
      <c r="F1144" s="589">
        <f t="shared" si="156"/>
        <v>0</v>
      </c>
      <c r="G1144" s="589">
        <f>SUM(G1142:G1143)</f>
        <v>0</v>
      </c>
      <c r="H1144" s="589">
        <f t="shared" si="156"/>
        <v>0</v>
      </c>
      <c r="I1144" s="639">
        <f>F1144/C1144</f>
        <v>0</v>
      </c>
      <c r="J1144" s="567"/>
      <c r="K1144" s="568"/>
    </row>
    <row r="1145" spans="1:11" x14ac:dyDescent="0.25">
      <c r="A1145" s="560"/>
      <c r="B1145" s="576"/>
      <c r="C1145" s="582"/>
      <c r="D1145" s="582"/>
      <c r="E1145" s="582"/>
      <c r="F1145" s="582"/>
      <c r="G1145" s="582"/>
      <c r="H1145" s="582"/>
      <c r="I1145" s="581"/>
      <c r="J1145" s="567"/>
      <c r="K1145" s="568"/>
    </row>
    <row r="1146" spans="1:11" x14ac:dyDescent="0.25">
      <c r="A1146" s="560"/>
      <c r="B1146" s="561" t="s">
        <v>449</v>
      </c>
      <c r="C1146" s="579">
        <f>C1124</f>
        <v>35623</v>
      </c>
      <c r="D1146" s="579">
        <f t="shared" ref="D1146:H1146" si="157">D1124</f>
        <v>37308.89</v>
      </c>
      <c r="E1146" s="579">
        <f>E1124</f>
        <v>36459.649999999994</v>
      </c>
      <c r="F1146" s="579">
        <f t="shared" si="157"/>
        <v>0</v>
      </c>
      <c r="G1146" s="579">
        <f>G1124</f>
        <v>36460</v>
      </c>
      <c r="H1146" s="579">
        <f t="shared" si="157"/>
        <v>0</v>
      </c>
      <c r="I1146" s="639">
        <f t="shared" ref="I1146:I1151" si="158">F1146/C1146</f>
        <v>0</v>
      </c>
      <c r="J1146" s="567"/>
      <c r="K1146" s="568"/>
    </row>
    <row r="1147" spans="1:11" x14ac:dyDescent="0.25">
      <c r="A1147" s="560"/>
      <c r="B1147" s="561" t="s">
        <v>116</v>
      </c>
      <c r="C1147" s="616">
        <f>C1136+C1144</f>
        <v>41990.02</v>
      </c>
      <c r="D1147" s="616">
        <f t="shared" ref="D1147:H1147" si="159">D1136+D1144</f>
        <v>25099.899999999998</v>
      </c>
      <c r="E1147" s="616">
        <f>E1136+E1144</f>
        <v>41990.02</v>
      </c>
      <c r="F1147" s="616">
        <f t="shared" si="159"/>
        <v>0</v>
      </c>
      <c r="G1147" s="616">
        <f>G1136+G1144</f>
        <v>41990</v>
      </c>
      <c r="H1147" s="616">
        <f t="shared" si="159"/>
        <v>0</v>
      </c>
      <c r="I1147" s="639">
        <f t="shared" si="158"/>
        <v>0</v>
      </c>
      <c r="J1147" s="567"/>
      <c r="K1147" s="568"/>
    </row>
    <row r="1148" spans="1:11" x14ac:dyDescent="0.25">
      <c r="A1148" s="560"/>
      <c r="B1148" s="561" t="s">
        <v>450</v>
      </c>
      <c r="C1148" s="579">
        <f>C1146-C1147</f>
        <v>-6367.0199999999968</v>
      </c>
      <c r="D1148" s="579">
        <f t="shared" ref="D1148:H1148" si="160">D1146-D1147</f>
        <v>12208.990000000002</v>
      </c>
      <c r="E1148" s="579">
        <f>E1146-E1147</f>
        <v>-5530.3700000000026</v>
      </c>
      <c r="F1148" s="579">
        <f t="shared" si="160"/>
        <v>0</v>
      </c>
      <c r="G1148" s="579">
        <f>G1146-G1147</f>
        <v>-5530</v>
      </c>
      <c r="H1148" s="579">
        <f t="shared" si="160"/>
        <v>0</v>
      </c>
      <c r="I1148" s="639">
        <f t="shared" si="158"/>
        <v>0</v>
      </c>
      <c r="J1148" s="567"/>
      <c r="K1148" s="568"/>
    </row>
    <row r="1149" spans="1:11" x14ac:dyDescent="0.25">
      <c r="A1149" s="560"/>
      <c r="B1149" s="561" t="s">
        <v>451</v>
      </c>
      <c r="C1149" s="616">
        <f>C1112+C1148</f>
        <v>17179.980000000003</v>
      </c>
      <c r="D1149" s="616">
        <f t="shared" ref="D1149:F1149" si="161">D1112+D1148</f>
        <v>12208.990000000002</v>
      </c>
      <c r="E1149" s="616">
        <f>E1112+E1148</f>
        <v>723.62999999999738</v>
      </c>
      <c r="F1149" s="616">
        <f t="shared" si="161"/>
        <v>0</v>
      </c>
      <c r="G1149" s="616">
        <f>G1112+G1148</f>
        <v>-4806.3700000000026</v>
      </c>
      <c r="H1149" s="616"/>
      <c r="I1149" s="639">
        <f t="shared" si="158"/>
        <v>0</v>
      </c>
      <c r="J1149" s="567"/>
      <c r="K1149" s="568"/>
    </row>
    <row r="1150" spans="1:11" x14ac:dyDescent="0.25">
      <c r="A1150" s="560"/>
      <c r="B1150" s="561" t="s">
        <v>370</v>
      </c>
      <c r="C1150" s="579">
        <v>6190</v>
      </c>
      <c r="D1150" s="579">
        <v>0.01</v>
      </c>
      <c r="E1150" s="579">
        <v>0.01</v>
      </c>
      <c r="F1150" s="579">
        <v>0.01</v>
      </c>
      <c r="G1150" s="579"/>
      <c r="H1150" s="579"/>
      <c r="I1150" s="639">
        <f t="shared" si="158"/>
        <v>1.6155088852988692E-6</v>
      </c>
      <c r="J1150" s="567"/>
      <c r="K1150" s="568"/>
    </row>
    <row r="1151" spans="1:11" x14ac:dyDescent="0.25">
      <c r="A1151" s="560"/>
      <c r="B1151" s="561" t="s">
        <v>465</v>
      </c>
      <c r="C1151" s="616">
        <f>C1149-C1150</f>
        <v>10989.980000000003</v>
      </c>
      <c r="D1151" s="616">
        <f t="shared" ref="D1151:H1151" si="162">D1149-D1150</f>
        <v>12208.980000000001</v>
      </c>
      <c r="E1151" s="616">
        <f>E1149-E1150</f>
        <v>723.61999999999739</v>
      </c>
      <c r="F1151" s="616">
        <f t="shared" si="162"/>
        <v>-0.01</v>
      </c>
      <c r="G1151" s="616">
        <f>G1149-G1150</f>
        <v>-4806.3700000000026</v>
      </c>
      <c r="H1151" s="616">
        <f t="shared" si="162"/>
        <v>0</v>
      </c>
      <c r="I1151" s="639">
        <f t="shared" si="158"/>
        <v>-9.0991976327527414E-7</v>
      </c>
      <c r="J1151" s="567"/>
      <c r="K1151" s="568"/>
    </row>
    <row r="1152" spans="1:11" s="569" customFormat="1" x14ac:dyDescent="0.25">
      <c r="A1152" s="575"/>
      <c r="B1152" s="576"/>
      <c r="C1152" s="564"/>
      <c r="D1152" s="576"/>
      <c r="E1152" s="601"/>
      <c r="F1152" s="564"/>
      <c r="G1152" s="581"/>
      <c r="H1152" s="581"/>
      <c r="I1152" s="581"/>
      <c r="J1152" s="567"/>
      <c r="K1152" s="568"/>
    </row>
    <row r="1153" spans="1:11" x14ac:dyDescent="0.25">
      <c r="A1153" s="686">
        <v>120</v>
      </c>
      <c r="B1153" s="628" t="s">
        <v>553</v>
      </c>
      <c r="C1153" s="630">
        <v>2017</v>
      </c>
      <c r="D1153" s="629" t="s">
        <v>1236</v>
      </c>
      <c r="E1153" s="629">
        <v>2018</v>
      </c>
      <c r="F1153" s="630" t="s">
        <v>1236</v>
      </c>
      <c r="G1153" s="631" t="s">
        <v>4</v>
      </c>
      <c r="H1153" s="631">
        <v>2019</v>
      </c>
      <c r="I1153" s="627" t="s">
        <v>5</v>
      </c>
      <c r="J1153" s="567"/>
      <c r="K1153" s="568"/>
    </row>
    <row r="1154" spans="1:11" x14ac:dyDescent="0.25">
      <c r="A1154" s="590"/>
      <c r="B1154" s="576" t="s">
        <v>93</v>
      </c>
      <c r="C1154" s="630" t="s">
        <v>6</v>
      </c>
      <c r="D1154" s="634">
        <v>43069</v>
      </c>
      <c r="E1154" s="629" t="s">
        <v>6</v>
      </c>
      <c r="F1154" s="634">
        <v>43131</v>
      </c>
      <c r="G1154" s="635" t="s">
        <v>1131</v>
      </c>
      <c r="H1154" s="635" t="s">
        <v>6</v>
      </c>
      <c r="I1154" s="627" t="s">
        <v>7</v>
      </c>
      <c r="J1154" s="567"/>
      <c r="K1154" s="568"/>
    </row>
    <row r="1155" spans="1:11" x14ac:dyDescent="0.25">
      <c r="A1155" s="561" t="s">
        <v>1278</v>
      </c>
      <c r="B1155" s="576"/>
      <c r="C1155" s="563">
        <v>21747</v>
      </c>
      <c r="D1155" s="563"/>
      <c r="E1155" s="563">
        <v>28112</v>
      </c>
      <c r="F1155" s="563"/>
      <c r="G1155" s="563">
        <v>28112</v>
      </c>
      <c r="H1155" s="566"/>
      <c r="I1155" s="581"/>
      <c r="J1155" s="567"/>
      <c r="K1155" s="568"/>
    </row>
    <row r="1156" spans="1:11" x14ac:dyDescent="0.25">
      <c r="A1156" s="580"/>
      <c r="B1156" s="561"/>
      <c r="C1156" s="581"/>
      <c r="D1156" s="581"/>
      <c r="E1156" s="581"/>
      <c r="F1156" s="581"/>
      <c r="G1156" s="581"/>
      <c r="H1156" s="581"/>
      <c r="I1156" s="581"/>
      <c r="J1156" s="567"/>
      <c r="K1156" s="568"/>
    </row>
    <row r="1157" spans="1:11" x14ac:dyDescent="0.25">
      <c r="A1157" s="580" t="s">
        <v>554</v>
      </c>
      <c r="B1157" s="561" t="s">
        <v>555</v>
      </c>
      <c r="C1157" s="581"/>
      <c r="D1157" s="581"/>
      <c r="E1157" s="581"/>
      <c r="F1157" s="581"/>
      <c r="G1157" s="581"/>
      <c r="H1157" s="581"/>
      <c r="I1157" s="581"/>
      <c r="J1157" s="567"/>
      <c r="K1157" s="568"/>
    </row>
    <row r="1158" spans="1:11" x14ac:dyDescent="0.25">
      <c r="A1158" s="575">
        <v>32330</v>
      </c>
      <c r="B1158" s="576" t="s">
        <v>556</v>
      </c>
      <c r="C1158" s="562">
        <v>0</v>
      </c>
      <c r="D1158" s="581">
        <v>0</v>
      </c>
      <c r="E1158" s="581">
        <v>0.01</v>
      </c>
      <c r="F1158" s="581"/>
      <c r="G1158" s="581">
        <v>0</v>
      </c>
      <c r="H1158" s="581"/>
      <c r="I1158" s="639" t="e">
        <f t="shared" ref="I1158:I1167" si="163">F1158/C1158</f>
        <v>#DIV/0!</v>
      </c>
      <c r="J1158" s="567"/>
      <c r="K1158" s="568"/>
    </row>
    <row r="1159" spans="1:11" x14ac:dyDescent="0.25">
      <c r="A1159" s="575">
        <v>32440</v>
      </c>
      <c r="B1159" s="576" t="s">
        <v>1266</v>
      </c>
      <c r="C1159" s="562">
        <v>3960</v>
      </c>
      <c r="D1159" s="581">
        <v>3683</v>
      </c>
      <c r="E1159" s="581">
        <v>4200</v>
      </c>
      <c r="F1159" s="581"/>
      <c r="G1159" s="581">
        <v>4200</v>
      </c>
      <c r="H1159" s="581"/>
      <c r="I1159" s="639">
        <f t="shared" si="163"/>
        <v>0</v>
      </c>
      <c r="J1159" s="567"/>
      <c r="K1159" s="568"/>
    </row>
    <row r="1160" spans="1:11" x14ac:dyDescent="0.25">
      <c r="A1160" s="575">
        <v>32500</v>
      </c>
      <c r="B1160" s="576" t="s">
        <v>557</v>
      </c>
      <c r="C1160" s="562">
        <v>21500</v>
      </c>
      <c r="D1160" s="581">
        <v>28540</v>
      </c>
      <c r="E1160" s="581">
        <v>29000</v>
      </c>
      <c r="F1160" s="581"/>
      <c r="G1160" s="581">
        <v>29000</v>
      </c>
      <c r="H1160" s="581"/>
      <c r="I1160" s="639">
        <f t="shared" si="163"/>
        <v>0</v>
      </c>
      <c r="J1160" s="567"/>
      <c r="K1160" s="568"/>
    </row>
    <row r="1161" spans="1:11" x14ac:dyDescent="0.25">
      <c r="A1161" s="575">
        <v>32600</v>
      </c>
      <c r="B1161" s="576" t="s">
        <v>558</v>
      </c>
      <c r="C1161" s="562">
        <v>100</v>
      </c>
      <c r="D1161" s="581">
        <v>313.05</v>
      </c>
      <c r="E1161" s="581">
        <v>100</v>
      </c>
      <c r="F1161" s="581"/>
      <c r="G1161" s="581">
        <v>100</v>
      </c>
      <c r="H1161" s="581"/>
      <c r="I1161" s="639">
        <f t="shared" si="163"/>
        <v>0</v>
      </c>
      <c r="J1161" s="567"/>
      <c r="K1161" s="568"/>
    </row>
    <row r="1162" spans="1:11" x14ac:dyDescent="0.25">
      <c r="A1162" s="575">
        <v>32700</v>
      </c>
      <c r="B1162" s="576" t="s">
        <v>470</v>
      </c>
      <c r="C1162" s="562"/>
      <c r="D1162" s="581">
        <v>0</v>
      </c>
      <c r="E1162" s="581">
        <v>0.01</v>
      </c>
      <c r="F1162" s="581"/>
      <c r="G1162" s="581">
        <v>0</v>
      </c>
      <c r="H1162" s="581"/>
      <c r="I1162" s="639" t="e">
        <f t="shared" si="163"/>
        <v>#DIV/0!</v>
      </c>
      <c r="J1162" s="567"/>
      <c r="K1162" s="568"/>
    </row>
    <row r="1163" spans="1:11" x14ac:dyDescent="0.25">
      <c r="A1163" s="575">
        <v>32800</v>
      </c>
      <c r="B1163" s="576" t="s">
        <v>1253</v>
      </c>
      <c r="C1163" s="562"/>
      <c r="D1163" s="581"/>
      <c r="E1163" s="581"/>
      <c r="F1163" s="581"/>
      <c r="G1163" s="581"/>
      <c r="H1163" s="581"/>
      <c r="I1163" s="639"/>
      <c r="J1163" s="567"/>
      <c r="K1163" s="568"/>
    </row>
    <row r="1164" spans="1:11" x14ac:dyDescent="0.25">
      <c r="A1164" s="575">
        <v>38010</v>
      </c>
      <c r="B1164" s="576" t="s">
        <v>523</v>
      </c>
      <c r="C1164" s="562"/>
      <c r="D1164" s="581">
        <v>0</v>
      </c>
      <c r="E1164" s="581">
        <v>0.01</v>
      </c>
      <c r="F1164" s="581"/>
      <c r="G1164" s="581">
        <v>0</v>
      </c>
      <c r="H1164" s="581"/>
      <c r="I1164" s="639" t="e">
        <f t="shared" si="163"/>
        <v>#DIV/0!</v>
      </c>
      <c r="J1164" s="567"/>
      <c r="K1164" s="568"/>
    </row>
    <row r="1165" spans="1:11" x14ac:dyDescent="0.25">
      <c r="A1165" s="575">
        <v>38160</v>
      </c>
      <c r="B1165" s="576" t="s">
        <v>559</v>
      </c>
      <c r="C1165" s="562"/>
      <c r="D1165" s="581">
        <v>0</v>
      </c>
      <c r="E1165" s="581">
        <v>0.01</v>
      </c>
      <c r="F1165" s="581"/>
      <c r="G1165" s="581">
        <v>0</v>
      </c>
      <c r="H1165" s="581"/>
      <c r="I1165" s="639" t="e">
        <f t="shared" si="163"/>
        <v>#DIV/0!</v>
      </c>
      <c r="J1165" s="567"/>
      <c r="K1165" s="568"/>
    </row>
    <row r="1166" spans="1:11" x14ac:dyDescent="0.25">
      <c r="A1166" s="575"/>
      <c r="B1166" s="576" t="s">
        <v>560</v>
      </c>
      <c r="C1166" s="562"/>
      <c r="D1166" s="581">
        <v>0</v>
      </c>
      <c r="E1166" s="581">
        <v>0.01</v>
      </c>
      <c r="F1166" s="581"/>
      <c r="G1166" s="581">
        <v>0</v>
      </c>
      <c r="H1166" s="581"/>
      <c r="I1166" s="639" t="e">
        <f t="shared" si="163"/>
        <v>#DIV/0!</v>
      </c>
      <c r="J1166" s="567"/>
      <c r="K1166" s="568"/>
    </row>
    <row r="1167" spans="1:11" x14ac:dyDescent="0.25">
      <c r="A1167" s="575"/>
      <c r="B1167" s="561" t="s">
        <v>373</v>
      </c>
      <c r="C1167" s="566">
        <f>SUM(C1158:C1166)</f>
        <v>25560</v>
      </c>
      <c r="D1167" s="566">
        <f t="shared" ref="D1167:H1167" si="164">SUM(D1158:D1166)</f>
        <v>32536.05</v>
      </c>
      <c r="E1167" s="566">
        <f>SUM(E1158:E1166)</f>
        <v>33300.05000000001</v>
      </c>
      <c r="F1167" s="566">
        <f t="shared" si="164"/>
        <v>0</v>
      </c>
      <c r="G1167" s="566">
        <f>SUM(G1158:G1166)</f>
        <v>33300</v>
      </c>
      <c r="H1167" s="566">
        <f t="shared" si="164"/>
        <v>0</v>
      </c>
      <c r="I1167" s="639">
        <f t="shared" si="163"/>
        <v>0</v>
      </c>
      <c r="J1167" s="567"/>
      <c r="K1167" s="568"/>
    </row>
    <row r="1168" spans="1:11" s="569" customFormat="1" x14ac:dyDescent="0.25">
      <c r="A1168" s="575"/>
      <c r="B1168" s="576"/>
      <c r="C1168" s="564"/>
      <c r="D1168" s="601"/>
      <c r="E1168" s="601"/>
      <c r="F1168" s="564"/>
      <c r="G1168" s="581"/>
      <c r="H1168" s="581"/>
      <c r="I1168" s="581"/>
      <c r="J1168" s="567"/>
      <c r="K1168" s="568"/>
    </row>
    <row r="1169" spans="1:11" x14ac:dyDescent="0.25">
      <c r="A1169" s="755" t="s">
        <v>561</v>
      </c>
      <c r="B1169" s="624" t="s">
        <v>562</v>
      </c>
      <c r="C1169" s="625">
        <v>2017</v>
      </c>
      <c r="D1169" s="631" t="s">
        <v>1236</v>
      </c>
      <c r="E1169" s="631">
        <v>2018</v>
      </c>
      <c r="F1169" s="625" t="s">
        <v>1236</v>
      </c>
      <c r="G1169" s="631" t="s">
        <v>4</v>
      </c>
      <c r="H1169" s="631">
        <v>2019</v>
      </c>
      <c r="I1169" s="626" t="s">
        <v>5</v>
      </c>
      <c r="J1169" s="567"/>
      <c r="K1169" s="568"/>
    </row>
    <row r="1170" spans="1:11" x14ac:dyDescent="0.25">
      <c r="A1170" s="576"/>
      <c r="B1170" s="576"/>
      <c r="C1170" s="625" t="s">
        <v>6</v>
      </c>
      <c r="D1170" s="635">
        <v>43069</v>
      </c>
      <c r="E1170" s="631" t="s">
        <v>6</v>
      </c>
      <c r="F1170" s="635">
        <v>43131</v>
      </c>
      <c r="G1170" s="635" t="s">
        <v>1131</v>
      </c>
      <c r="H1170" s="635" t="s">
        <v>6</v>
      </c>
      <c r="I1170" s="626" t="s">
        <v>92</v>
      </c>
      <c r="J1170" s="567"/>
      <c r="K1170" s="568"/>
    </row>
    <row r="1171" spans="1:11" x14ac:dyDescent="0.25">
      <c r="A1171" s="575">
        <v>41420</v>
      </c>
      <c r="B1171" s="576" t="s">
        <v>382</v>
      </c>
      <c r="C1171" s="562">
        <v>80</v>
      </c>
      <c r="D1171" s="581">
        <v>80</v>
      </c>
      <c r="E1171" s="581">
        <v>80</v>
      </c>
      <c r="F1171" s="581"/>
      <c r="G1171" s="581">
        <v>80</v>
      </c>
      <c r="H1171" s="581"/>
      <c r="I1171" s="639">
        <f t="shared" ref="I1171:I1188" si="165">F1171/C1171</f>
        <v>0</v>
      </c>
      <c r="J1171" s="567"/>
      <c r="K1171" s="568"/>
    </row>
    <row r="1172" spans="1:11" x14ac:dyDescent="0.25">
      <c r="A1172" s="575">
        <v>50310</v>
      </c>
      <c r="B1172" s="576" t="s">
        <v>563</v>
      </c>
      <c r="C1172" s="562">
        <v>200</v>
      </c>
      <c r="D1172" s="581">
        <v>374.59</v>
      </c>
      <c r="E1172" s="581">
        <v>500</v>
      </c>
      <c r="F1172" s="581"/>
      <c r="G1172" s="581">
        <v>500</v>
      </c>
      <c r="H1172" s="581"/>
      <c r="I1172" s="639">
        <f t="shared" si="165"/>
        <v>0</v>
      </c>
      <c r="J1172" s="567"/>
      <c r="K1172" s="568"/>
    </row>
    <row r="1173" spans="1:11" x14ac:dyDescent="0.25">
      <c r="A1173" s="575">
        <v>52340</v>
      </c>
      <c r="B1173" s="576" t="s">
        <v>564</v>
      </c>
      <c r="C1173" s="562">
        <v>300</v>
      </c>
      <c r="D1173" s="581">
        <v>64.87</v>
      </c>
      <c r="E1173" s="581">
        <v>750</v>
      </c>
      <c r="F1173" s="581"/>
      <c r="G1173" s="581">
        <v>750</v>
      </c>
      <c r="H1173" s="581"/>
      <c r="I1173" s="639">
        <f t="shared" si="165"/>
        <v>0</v>
      </c>
      <c r="J1173" s="567"/>
      <c r="K1173" s="568"/>
    </row>
    <row r="1174" spans="1:11" x14ac:dyDescent="0.25">
      <c r="A1174" s="575">
        <v>53342</v>
      </c>
      <c r="B1174" s="576" t="s">
        <v>402</v>
      </c>
      <c r="C1174" s="562">
        <v>200</v>
      </c>
      <c r="D1174" s="581">
        <v>649.52</v>
      </c>
      <c r="E1174" s="581">
        <v>200</v>
      </c>
      <c r="F1174" s="581"/>
      <c r="G1174" s="581">
        <v>200</v>
      </c>
      <c r="H1174" s="581"/>
      <c r="I1174" s="639">
        <f t="shared" si="165"/>
        <v>0</v>
      </c>
      <c r="J1174" s="567"/>
      <c r="K1174" s="568"/>
    </row>
    <row r="1175" spans="1:11" x14ac:dyDescent="0.25">
      <c r="A1175" s="575">
        <v>53440</v>
      </c>
      <c r="B1175" s="576" t="s">
        <v>417</v>
      </c>
      <c r="C1175" s="562">
        <v>700</v>
      </c>
      <c r="D1175" s="581">
        <v>560.23</v>
      </c>
      <c r="E1175" s="581">
        <v>600</v>
      </c>
      <c r="F1175" s="581"/>
      <c r="G1175" s="581">
        <v>600</v>
      </c>
      <c r="H1175" s="581"/>
      <c r="I1175" s="639">
        <f t="shared" si="165"/>
        <v>0</v>
      </c>
      <c r="J1175" s="567"/>
      <c r="K1175" s="568"/>
    </row>
    <row r="1176" spans="1:11" x14ac:dyDescent="0.25">
      <c r="A1176" s="575">
        <v>53550</v>
      </c>
      <c r="B1176" s="576" t="s">
        <v>565</v>
      </c>
      <c r="C1176" s="562">
        <v>500</v>
      </c>
      <c r="D1176" s="581">
        <v>2333.9699999999998</v>
      </c>
      <c r="E1176" s="581">
        <v>1500</v>
      </c>
      <c r="F1176" s="581"/>
      <c r="G1176" s="581">
        <v>1500</v>
      </c>
      <c r="H1176" s="581"/>
      <c r="I1176" s="639">
        <f t="shared" si="165"/>
        <v>0</v>
      </c>
      <c r="J1176" s="567"/>
      <c r="K1176" s="568"/>
    </row>
    <row r="1177" spans="1:11" x14ac:dyDescent="0.25">
      <c r="A1177" s="575">
        <v>59211</v>
      </c>
      <c r="B1177" s="576" t="s">
        <v>566</v>
      </c>
      <c r="C1177" s="562">
        <v>300</v>
      </c>
      <c r="D1177" s="581">
        <v>190.32</v>
      </c>
      <c r="E1177" s="581">
        <v>300</v>
      </c>
      <c r="F1177" s="581"/>
      <c r="G1177" s="581">
        <v>300</v>
      </c>
      <c r="H1177" s="581"/>
      <c r="I1177" s="639">
        <f t="shared" si="165"/>
        <v>0</v>
      </c>
      <c r="J1177" s="567"/>
      <c r="K1177" s="568"/>
    </row>
    <row r="1178" spans="1:11" x14ac:dyDescent="0.25">
      <c r="A1178" s="575">
        <v>60000</v>
      </c>
      <c r="B1178" s="576" t="s">
        <v>199</v>
      </c>
      <c r="C1178" s="562">
        <v>100</v>
      </c>
      <c r="D1178" s="581">
        <v>10</v>
      </c>
      <c r="E1178" s="581">
        <v>50</v>
      </c>
      <c r="F1178" s="581"/>
      <c r="G1178" s="581">
        <v>50</v>
      </c>
      <c r="H1178" s="581"/>
      <c r="I1178" s="639">
        <f t="shared" si="165"/>
        <v>0</v>
      </c>
      <c r="J1178" s="567"/>
      <c r="K1178" s="568"/>
    </row>
    <row r="1179" spans="1:11" x14ac:dyDescent="0.25">
      <c r="A1179" s="575">
        <v>62310</v>
      </c>
      <c r="B1179" s="576" t="s">
        <v>108</v>
      </c>
      <c r="C1179" s="562">
        <v>0</v>
      </c>
      <c r="D1179" s="581">
        <v>0</v>
      </c>
      <c r="E1179" s="581">
        <v>0</v>
      </c>
      <c r="F1179" s="581"/>
      <c r="G1179" s="581">
        <v>0</v>
      </c>
      <c r="H1179" s="581"/>
      <c r="I1179" s="639" t="e">
        <f t="shared" si="165"/>
        <v>#DIV/0!</v>
      </c>
      <c r="J1179" s="567"/>
      <c r="K1179" s="568"/>
    </row>
    <row r="1180" spans="1:11" x14ac:dyDescent="0.25">
      <c r="A1180" s="575">
        <v>64600</v>
      </c>
      <c r="B1180" s="576" t="s">
        <v>148</v>
      </c>
      <c r="C1180" s="562">
        <v>7000</v>
      </c>
      <c r="D1180" s="581">
        <v>2358.91</v>
      </c>
      <c r="E1180" s="581">
        <v>4000</v>
      </c>
      <c r="F1180" s="581"/>
      <c r="G1180" s="581">
        <v>4000</v>
      </c>
      <c r="H1180" s="581"/>
      <c r="I1180" s="639">
        <f t="shared" si="165"/>
        <v>0</v>
      </c>
      <c r="J1180" s="567"/>
      <c r="K1180" s="568"/>
    </row>
    <row r="1181" spans="1:11" x14ac:dyDescent="0.25">
      <c r="A1181" s="575">
        <v>65400</v>
      </c>
      <c r="B1181" s="576" t="s">
        <v>892</v>
      </c>
      <c r="C1181" s="562">
        <v>300</v>
      </c>
      <c r="D1181" s="581">
        <v>93.6</v>
      </c>
      <c r="E1181" s="581">
        <v>300</v>
      </c>
      <c r="F1181" s="581"/>
      <c r="G1181" s="581">
        <v>300</v>
      </c>
      <c r="H1181" s="581"/>
      <c r="I1181" s="639">
        <f t="shared" si="165"/>
        <v>0</v>
      </c>
      <c r="J1181" s="567"/>
      <c r="K1181" s="568"/>
    </row>
    <row r="1182" spans="1:11" x14ac:dyDescent="0.25">
      <c r="A1182" s="575">
        <v>65700</v>
      </c>
      <c r="B1182" s="576" t="s">
        <v>1203</v>
      </c>
      <c r="C1182" s="562">
        <v>10000</v>
      </c>
      <c r="D1182" s="581">
        <v>9260</v>
      </c>
      <c r="E1182" s="581">
        <v>8000</v>
      </c>
      <c r="F1182" s="581"/>
      <c r="G1182" s="581">
        <v>8000</v>
      </c>
      <c r="H1182" s="581"/>
      <c r="I1182" s="639">
        <f t="shared" si="165"/>
        <v>0</v>
      </c>
      <c r="J1182" s="567"/>
      <c r="K1182" s="568"/>
    </row>
    <row r="1183" spans="1:11" x14ac:dyDescent="0.25">
      <c r="A1183" s="575">
        <v>65701</v>
      </c>
      <c r="B1183" s="576" t="s">
        <v>567</v>
      </c>
      <c r="C1183" s="562">
        <v>3000</v>
      </c>
      <c r="D1183" s="581">
        <v>2048</v>
      </c>
      <c r="E1183" s="581">
        <v>2500</v>
      </c>
      <c r="F1183" s="581"/>
      <c r="G1183" s="581">
        <v>2500</v>
      </c>
      <c r="H1183" s="581"/>
      <c r="I1183" s="639">
        <f t="shared" si="165"/>
        <v>0</v>
      </c>
      <c r="J1183" s="567"/>
      <c r="K1183" s="568"/>
    </row>
    <row r="1184" spans="1:11" x14ac:dyDescent="0.25">
      <c r="A1184" s="575">
        <v>66100</v>
      </c>
      <c r="B1184" s="576" t="s">
        <v>155</v>
      </c>
      <c r="C1184" s="562">
        <v>135</v>
      </c>
      <c r="D1184" s="581">
        <v>135</v>
      </c>
      <c r="E1184" s="581">
        <v>185</v>
      </c>
      <c r="F1184" s="581"/>
      <c r="G1184" s="581">
        <v>185</v>
      </c>
      <c r="H1184" s="581"/>
      <c r="I1184" s="639">
        <f t="shared" si="165"/>
        <v>0</v>
      </c>
      <c r="J1184" s="567"/>
      <c r="K1184" s="568"/>
    </row>
    <row r="1185" spans="1:11" x14ac:dyDescent="0.25">
      <c r="A1185" s="575">
        <v>67410</v>
      </c>
      <c r="B1185" s="576" t="s">
        <v>568</v>
      </c>
      <c r="C1185" s="562">
        <v>2000</v>
      </c>
      <c r="D1185" s="581">
        <v>1800</v>
      </c>
      <c r="E1185" s="581">
        <v>1800</v>
      </c>
      <c r="F1185" s="581"/>
      <c r="G1185" s="581">
        <v>1800</v>
      </c>
      <c r="H1185" s="581"/>
      <c r="I1185" s="639">
        <f t="shared" si="165"/>
        <v>0</v>
      </c>
      <c r="J1185" s="567"/>
      <c r="K1185" s="568"/>
    </row>
    <row r="1186" spans="1:11" x14ac:dyDescent="0.25">
      <c r="A1186" s="575">
        <v>71000</v>
      </c>
      <c r="B1186" s="576" t="s">
        <v>488</v>
      </c>
      <c r="C1186" s="562"/>
      <c r="D1186" s="581">
        <v>0</v>
      </c>
      <c r="E1186" s="581">
        <v>0.01</v>
      </c>
      <c r="F1186" s="581"/>
      <c r="G1186" s="581">
        <v>0</v>
      </c>
      <c r="H1186" s="581"/>
      <c r="I1186" s="639" t="e">
        <f t="shared" si="165"/>
        <v>#DIV/0!</v>
      </c>
      <c r="J1186" s="567"/>
      <c r="K1186" s="568"/>
    </row>
    <row r="1187" spans="1:11" x14ac:dyDescent="0.25">
      <c r="A1187" s="575"/>
      <c r="B1187" s="576" t="s">
        <v>569</v>
      </c>
      <c r="C1187" s="562"/>
      <c r="D1187" s="581">
        <v>0</v>
      </c>
      <c r="E1187" s="581">
        <v>0</v>
      </c>
      <c r="F1187" s="581"/>
      <c r="G1187" s="581">
        <v>0</v>
      </c>
      <c r="H1187" s="581"/>
      <c r="I1187" s="639" t="e">
        <f t="shared" si="165"/>
        <v>#DIV/0!</v>
      </c>
      <c r="J1187" s="567"/>
      <c r="K1187" s="568"/>
    </row>
    <row r="1188" spans="1:11" x14ac:dyDescent="0.25">
      <c r="A1188" s="575"/>
      <c r="B1188" s="561" t="s">
        <v>116</v>
      </c>
      <c r="C1188" s="566">
        <f>SUM(C1171:C1187)</f>
        <v>24815</v>
      </c>
      <c r="D1188" s="566">
        <f t="shared" ref="D1188:H1188" si="166">SUM(D1171:D1187)</f>
        <v>19959.010000000002</v>
      </c>
      <c r="E1188" s="566">
        <f>SUM(E1171:E1187)</f>
        <v>20765.009999999998</v>
      </c>
      <c r="F1188" s="566">
        <f t="shared" si="166"/>
        <v>0</v>
      </c>
      <c r="G1188" s="566">
        <f>SUM(G1171:G1187)</f>
        <v>20765</v>
      </c>
      <c r="H1188" s="566">
        <f t="shared" si="166"/>
        <v>0</v>
      </c>
      <c r="I1188" s="639">
        <f t="shared" si="165"/>
        <v>0</v>
      </c>
      <c r="J1188" s="567"/>
      <c r="K1188" s="568"/>
    </row>
    <row r="1189" spans="1:11" x14ac:dyDescent="0.25">
      <c r="A1189" s="575"/>
      <c r="B1189" s="576"/>
      <c r="C1189" s="758"/>
      <c r="D1189" s="748"/>
      <c r="E1189" s="748"/>
      <c r="F1189" s="748"/>
      <c r="G1189" s="748"/>
      <c r="H1189" s="748"/>
      <c r="I1189" s="581"/>
      <c r="J1189" s="567"/>
      <c r="K1189" s="568"/>
    </row>
    <row r="1190" spans="1:11" x14ac:dyDescent="0.25">
      <c r="A1190" s="590"/>
      <c r="B1190" s="561" t="s">
        <v>449</v>
      </c>
      <c r="C1190" s="579">
        <f>C1167</f>
        <v>25560</v>
      </c>
      <c r="D1190" s="579">
        <f t="shared" ref="D1190:H1190" si="167">D1167</f>
        <v>32536.05</v>
      </c>
      <c r="E1190" s="579">
        <f>E1167</f>
        <v>33300.05000000001</v>
      </c>
      <c r="F1190" s="579">
        <f t="shared" si="167"/>
        <v>0</v>
      </c>
      <c r="G1190" s="579">
        <f>G1167</f>
        <v>33300</v>
      </c>
      <c r="H1190" s="579">
        <f t="shared" si="167"/>
        <v>0</v>
      </c>
      <c r="I1190" s="639">
        <f t="shared" ref="I1190:I1195" si="168">F1190/C1190</f>
        <v>0</v>
      </c>
      <c r="J1190" s="567"/>
      <c r="K1190" s="568"/>
    </row>
    <row r="1191" spans="1:11" x14ac:dyDescent="0.25">
      <c r="A1191" s="560"/>
      <c r="B1191" s="561" t="s">
        <v>116</v>
      </c>
      <c r="C1191" s="616">
        <f>C1188</f>
        <v>24815</v>
      </c>
      <c r="D1191" s="616">
        <f t="shared" ref="D1191:H1191" si="169">D1188</f>
        <v>19959.010000000002</v>
      </c>
      <c r="E1191" s="616">
        <f>E1188</f>
        <v>20765.009999999998</v>
      </c>
      <c r="F1191" s="616">
        <f t="shared" si="169"/>
        <v>0</v>
      </c>
      <c r="G1191" s="616">
        <f>G1188</f>
        <v>20765</v>
      </c>
      <c r="H1191" s="616">
        <f t="shared" si="169"/>
        <v>0</v>
      </c>
      <c r="I1191" s="639">
        <f t="shared" si="168"/>
        <v>0</v>
      </c>
      <c r="J1191" s="567"/>
      <c r="K1191" s="568"/>
    </row>
    <row r="1192" spans="1:11" x14ac:dyDescent="0.25">
      <c r="A1192" s="560"/>
      <c r="B1192" s="561" t="s">
        <v>450</v>
      </c>
      <c r="C1192" s="616">
        <f>C1190-C1191</f>
        <v>745</v>
      </c>
      <c r="D1192" s="616">
        <f t="shared" ref="D1192:H1192" si="170">D1190-D1191</f>
        <v>12577.039999999997</v>
      </c>
      <c r="E1192" s="616">
        <f>E1190-E1191</f>
        <v>12535.040000000012</v>
      </c>
      <c r="F1192" s="616">
        <f t="shared" si="170"/>
        <v>0</v>
      </c>
      <c r="G1192" s="616">
        <f>G1190-G1191</f>
        <v>12535</v>
      </c>
      <c r="H1192" s="616">
        <f t="shared" si="170"/>
        <v>0</v>
      </c>
      <c r="I1192" s="639">
        <f t="shared" si="168"/>
        <v>0</v>
      </c>
      <c r="J1192" s="567"/>
      <c r="K1192" s="568"/>
    </row>
    <row r="1193" spans="1:11" x14ac:dyDescent="0.25">
      <c r="A1193" s="560"/>
      <c r="B1193" s="561" t="s">
        <v>451</v>
      </c>
      <c r="C1193" s="616">
        <f>C1155+C1192</f>
        <v>22492</v>
      </c>
      <c r="D1193" s="616">
        <f t="shared" ref="D1193:H1193" si="171">D1155+D1192</f>
        <v>12577.039999999997</v>
      </c>
      <c r="E1193" s="616">
        <f>E1155+E1192</f>
        <v>40647.040000000008</v>
      </c>
      <c r="F1193" s="616">
        <f t="shared" si="171"/>
        <v>0</v>
      </c>
      <c r="G1193" s="616">
        <f>G1155+G1192</f>
        <v>40647</v>
      </c>
      <c r="H1193" s="616">
        <f t="shared" si="171"/>
        <v>0</v>
      </c>
      <c r="I1193" s="639">
        <f t="shared" si="168"/>
        <v>0</v>
      </c>
      <c r="J1193" s="567"/>
      <c r="K1193" s="568"/>
    </row>
    <row r="1194" spans="1:11" x14ac:dyDescent="0.25">
      <c r="A1194" s="560"/>
      <c r="B1194" s="561" t="s">
        <v>370</v>
      </c>
      <c r="C1194" s="616">
        <v>0</v>
      </c>
      <c r="D1194" s="616">
        <v>0</v>
      </c>
      <c r="E1194" s="616">
        <v>0</v>
      </c>
      <c r="F1194" s="616">
        <v>0</v>
      </c>
      <c r="G1194" s="616">
        <v>0</v>
      </c>
      <c r="H1194" s="616">
        <v>0</v>
      </c>
      <c r="I1194" s="639" t="e">
        <f t="shared" si="168"/>
        <v>#DIV/0!</v>
      </c>
      <c r="J1194" s="567"/>
      <c r="K1194" s="568"/>
    </row>
    <row r="1195" spans="1:11" x14ac:dyDescent="0.25">
      <c r="A1195" s="560"/>
      <c r="B1195" s="561" t="s">
        <v>465</v>
      </c>
      <c r="C1195" s="616">
        <f>C1193-C1194</f>
        <v>22492</v>
      </c>
      <c r="D1195" s="616">
        <f t="shared" ref="D1195:H1195" si="172">D1193-D1194</f>
        <v>12577.039999999997</v>
      </c>
      <c r="E1195" s="616">
        <f>E1193-E1194</f>
        <v>40647.040000000008</v>
      </c>
      <c r="F1195" s="616">
        <f t="shared" si="172"/>
        <v>0</v>
      </c>
      <c r="G1195" s="616">
        <f>G1193-G1194</f>
        <v>40647</v>
      </c>
      <c r="H1195" s="616">
        <f t="shared" si="172"/>
        <v>0</v>
      </c>
      <c r="I1195" s="639">
        <f t="shared" si="168"/>
        <v>0</v>
      </c>
      <c r="J1195" s="567"/>
      <c r="K1195" s="568"/>
    </row>
    <row r="1196" spans="1:11" x14ac:dyDescent="0.25">
      <c r="A1196" s="560"/>
      <c r="B1196" s="561"/>
      <c r="C1196" s="564"/>
      <c r="D1196" s="576"/>
      <c r="E1196" s="576"/>
      <c r="F1196" s="564"/>
      <c r="G1196" s="581"/>
      <c r="H1196" s="581"/>
      <c r="I1196" s="581"/>
      <c r="J1196" s="567"/>
      <c r="K1196" s="568"/>
    </row>
    <row r="1197" spans="1:11" s="569" customFormat="1" x14ac:dyDescent="0.25">
      <c r="A1197" s="575"/>
      <c r="B1197" s="576"/>
      <c r="C1197" s="564"/>
      <c r="D1197" s="576"/>
      <c r="E1197" s="576"/>
      <c r="F1197" s="564"/>
      <c r="G1197" s="581"/>
      <c r="H1197" s="581"/>
      <c r="I1197" s="581"/>
      <c r="J1197" s="567"/>
      <c r="K1197" s="568"/>
    </row>
    <row r="1198" spans="1:11" x14ac:dyDescent="0.25">
      <c r="A1198" s="686">
        <v>260</v>
      </c>
      <c r="B1198" s="628" t="s">
        <v>570</v>
      </c>
      <c r="C1198" s="630">
        <v>2017</v>
      </c>
      <c r="D1198" s="629" t="s">
        <v>1236</v>
      </c>
      <c r="E1198" s="629">
        <v>2018</v>
      </c>
      <c r="F1198" s="630" t="s">
        <v>1236</v>
      </c>
      <c r="G1198" s="631" t="s">
        <v>4</v>
      </c>
      <c r="H1198" s="631">
        <v>2019</v>
      </c>
      <c r="I1198" s="627" t="s">
        <v>5</v>
      </c>
      <c r="J1198" s="567"/>
      <c r="K1198" s="568"/>
    </row>
    <row r="1199" spans="1:11" x14ac:dyDescent="0.25">
      <c r="A1199" s="575"/>
      <c r="B1199" s="576" t="s">
        <v>93</v>
      </c>
      <c r="C1199" s="630" t="s">
        <v>6</v>
      </c>
      <c r="D1199" s="634">
        <v>43069</v>
      </c>
      <c r="E1199" s="629" t="s">
        <v>6</v>
      </c>
      <c r="F1199" s="634">
        <v>43131</v>
      </c>
      <c r="G1199" s="635" t="s">
        <v>1131</v>
      </c>
      <c r="H1199" s="635" t="s">
        <v>6</v>
      </c>
      <c r="I1199" s="627" t="s">
        <v>7</v>
      </c>
      <c r="J1199" s="567"/>
      <c r="K1199" s="568"/>
    </row>
    <row r="1200" spans="1:11" x14ac:dyDescent="0.25">
      <c r="A1200" s="561" t="s">
        <v>1233</v>
      </c>
      <c r="B1200" s="576"/>
      <c r="C1200" s="579">
        <v>74290</v>
      </c>
      <c r="D1200" s="579"/>
      <c r="E1200" s="579">
        <v>79140</v>
      </c>
      <c r="F1200" s="579"/>
      <c r="G1200" s="579">
        <v>79140</v>
      </c>
      <c r="H1200" s="579">
        <f>G1223</f>
        <v>87229</v>
      </c>
      <c r="I1200" s="581"/>
      <c r="J1200" s="567"/>
      <c r="K1200" s="568"/>
    </row>
    <row r="1201" spans="1:11" x14ac:dyDescent="0.25">
      <c r="A1201" s="575"/>
      <c r="B1201" s="576"/>
      <c r="C1201" s="582"/>
      <c r="D1201" s="582"/>
      <c r="E1201" s="582"/>
      <c r="F1201" s="582"/>
      <c r="G1201" s="582"/>
      <c r="H1201" s="582"/>
      <c r="I1201" s="581"/>
      <c r="J1201" s="567"/>
      <c r="K1201" s="568"/>
    </row>
    <row r="1202" spans="1:11" x14ac:dyDescent="0.25">
      <c r="A1202" s="580" t="s">
        <v>571</v>
      </c>
      <c r="B1202" s="561" t="s">
        <v>572</v>
      </c>
      <c r="C1202" s="582"/>
      <c r="D1202" s="582"/>
      <c r="E1202" s="582"/>
      <c r="F1202" s="582"/>
      <c r="G1202" s="582"/>
      <c r="H1202" s="582"/>
      <c r="I1202" s="581"/>
      <c r="J1202" s="567"/>
      <c r="K1202" s="568"/>
    </row>
    <row r="1203" spans="1:11" x14ac:dyDescent="0.25">
      <c r="A1203" s="575"/>
      <c r="B1203" s="576"/>
      <c r="C1203" s="582"/>
      <c r="D1203" s="582"/>
      <c r="E1203" s="582"/>
      <c r="F1203" s="582"/>
      <c r="G1203" s="582"/>
      <c r="H1203" s="582"/>
      <c r="I1203" s="581"/>
      <c r="J1203" s="567"/>
      <c r="K1203" s="568"/>
    </row>
    <row r="1204" spans="1:11" x14ac:dyDescent="0.25">
      <c r="A1204" s="575">
        <v>31100</v>
      </c>
      <c r="B1204" s="576" t="s">
        <v>573</v>
      </c>
      <c r="C1204" s="611">
        <v>58000</v>
      </c>
      <c r="D1204" s="582">
        <v>55666.18</v>
      </c>
      <c r="E1204" s="582">
        <v>53788.85</v>
      </c>
      <c r="F1204" s="582"/>
      <c r="G1204" s="611">
        <v>53789</v>
      </c>
      <c r="H1204" s="611"/>
      <c r="I1204" s="639">
        <f t="shared" ref="I1204:I1209" si="173">F1204/C1204</f>
        <v>0</v>
      </c>
      <c r="J1204" s="650"/>
      <c r="K1204" s="568"/>
    </row>
    <row r="1205" spans="1:11" x14ac:dyDescent="0.25">
      <c r="A1205" s="575">
        <v>31200</v>
      </c>
      <c r="B1205" s="576" t="s">
        <v>346</v>
      </c>
      <c r="C1205" s="611">
        <v>2819</v>
      </c>
      <c r="D1205" s="582">
        <v>3894.17</v>
      </c>
      <c r="E1205" s="582">
        <v>4100</v>
      </c>
      <c r="F1205" s="582"/>
      <c r="G1205" s="611">
        <v>4100</v>
      </c>
      <c r="H1205" s="611"/>
      <c r="I1205" s="639">
        <f t="shared" si="173"/>
        <v>0</v>
      </c>
      <c r="J1205" s="567"/>
      <c r="K1205" s="568"/>
    </row>
    <row r="1206" spans="1:11" x14ac:dyDescent="0.25">
      <c r="A1206" s="575">
        <v>31250</v>
      </c>
      <c r="B1206" s="576" t="s">
        <v>13</v>
      </c>
      <c r="C1206" s="611">
        <v>200</v>
      </c>
      <c r="D1206" s="582">
        <v>201.57</v>
      </c>
      <c r="E1206" s="582">
        <v>200</v>
      </c>
      <c r="F1206" s="582"/>
      <c r="G1206" s="611">
        <v>200</v>
      </c>
      <c r="H1206" s="611"/>
      <c r="I1206" s="639">
        <f t="shared" si="173"/>
        <v>0</v>
      </c>
      <c r="J1206" s="567"/>
      <c r="K1206" s="568"/>
    </row>
    <row r="1207" spans="1:11" x14ac:dyDescent="0.25">
      <c r="A1207" s="575">
        <v>32605</v>
      </c>
      <c r="B1207" s="576" t="s">
        <v>574</v>
      </c>
      <c r="C1207" s="611">
        <v>3000</v>
      </c>
      <c r="D1207" s="582"/>
      <c r="E1207" s="582">
        <v>3000</v>
      </c>
      <c r="F1207" s="582"/>
      <c r="G1207" s="611">
        <v>3000</v>
      </c>
      <c r="H1207" s="582"/>
      <c r="I1207" s="639">
        <f t="shared" si="173"/>
        <v>0</v>
      </c>
      <c r="J1207" s="567"/>
      <c r="K1207" s="568"/>
    </row>
    <row r="1208" spans="1:11" x14ac:dyDescent="0.25">
      <c r="A1208" s="575">
        <v>38103</v>
      </c>
      <c r="B1208" s="576" t="s">
        <v>370</v>
      </c>
      <c r="C1208" s="611"/>
      <c r="D1208" s="582">
        <v>0</v>
      </c>
      <c r="E1208" s="582">
        <v>0.01</v>
      </c>
      <c r="F1208" s="582"/>
      <c r="G1208" s="611">
        <v>0</v>
      </c>
      <c r="H1208" s="582"/>
      <c r="I1208" s="639" t="e">
        <f t="shared" si="173"/>
        <v>#DIV/0!</v>
      </c>
      <c r="J1208" s="567"/>
      <c r="K1208" s="568"/>
    </row>
    <row r="1209" spans="1:11" x14ac:dyDescent="0.25">
      <c r="A1209" s="575"/>
      <c r="B1209" s="561" t="s">
        <v>373</v>
      </c>
      <c r="C1209" s="579">
        <f>SUM(C1204:C1208)</f>
        <v>64019</v>
      </c>
      <c r="D1209" s="579">
        <f t="shared" ref="D1209:H1209" si="174">SUM(D1204:D1208)</f>
        <v>59761.919999999998</v>
      </c>
      <c r="E1209" s="579">
        <f>SUM(E1204:E1208)</f>
        <v>61088.86</v>
      </c>
      <c r="F1209" s="579">
        <f t="shared" si="174"/>
        <v>0</v>
      </c>
      <c r="G1209" s="579">
        <f>SUM(G1204:G1208)</f>
        <v>61089</v>
      </c>
      <c r="H1209" s="579">
        <f t="shared" si="174"/>
        <v>0</v>
      </c>
      <c r="I1209" s="639">
        <f t="shared" si="173"/>
        <v>0</v>
      </c>
      <c r="J1209" s="567"/>
      <c r="K1209" s="568"/>
    </row>
    <row r="1210" spans="1:11" x14ac:dyDescent="0.25">
      <c r="A1210" s="575"/>
      <c r="B1210" s="576"/>
      <c r="C1210" s="564"/>
      <c r="D1210" s="601"/>
      <c r="E1210" s="601"/>
      <c r="F1210" s="564"/>
      <c r="G1210" s="581"/>
      <c r="H1210" s="581"/>
      <c r="I1210" s="581"/>
      <c r="J1210" s="567"/>
      <c r="K1210" s="568"/>
    </row>
    <row r="1211" spans="1:11" x14ac:dyDescent="0.25">
      <c r="A1211" s="755" t="s">
        <v>575</v>
      </c>
      <c r="B1211" s="624" t="s">
        <v>576</v>
      </c>
      <c r="C1211" s="625">
        <v>2017</v>
      </c>
      <c r="D1211" s="631" t="s">
        <v>1236</v>
      </c>
      <c r="E1211" s="631">
        <v>2018</v>
      </c>
      <c r="F1211" s="625" t="s">
        <v>1236</v>
      </c>
      <c r="G1211" s="631" t="s">
        <v>4</v>
      </c>
      <c r="H1211" s="631">
        <v>2019</v>
      </c>
      <c r="I1211" s="627" t="s">
        <v>5</v>
      </c>
      <c r="J1211" s="567"/>
      <c r="K1211" s="568"/>
    </row>
    <row r="1212" spans="1:11" x14ac:dyDescent="0.25">
      <c r="A1212" s="575"/>
      <c r="B1212" s="576"/>
      <c r="C1212" s="625" t="s">
        <v>6</v>
      </c>
      <c r="D1212" s="635">
        <v>43069</v>
      </c>
      <c r="E1212" s="631" t="s">
        <v>6</v>
      </c>
      <c r="F1212" s="634">
        <v>43131</v>
      </c>
      <c r="G1212" s="635" t="s">
        <v>1131</v>
      </c>
      <c r="H1212" s="635" t="s">
        <v>6</v>
      </c>
      <c r="I1212" s="627" t="s">
        <v>92</v>
      </c>
      <c r="J1212" s="567"/>
      <c r="K1212" s="568"/>
    </row>
    <row r="1213" spans="1:11" x14ac:dyDescent="0.25">
      <c r="A1213" s="575">
        <v>41481</v>
      </c>
      <c r="B1213" s="576" t="s">
        <v>577</v>
      </c>
      <c r="C1213" s="611">
        <v>58377</v>
      </c>
      <c r="D1213" s="582">
        <v>46918.09</v>
      </c>
      <c r="E1213" s="582">
        <v>50000</v>
      </c>
      <c r="F1213" s="582"/>
      <c r="G1213" s="582">
        <v>50000</v>
      </c>
      <c r="H1213" s="582"/>
      <c r="I1213" s="639">
        <f>F1213/C1213</f>
        <v>0</v>
      </c>
      <c r="J1213" s="567"/>
      <c r="K1213" s="568"/>
    </row>
    <row r="1214" spans="1:11" x14ac:dyDescent="0.25">
      <c r="A1214" s="575">
        <v>69425</v>
      </c>
      <c r="B1214" s="576" t="s">
        <v>299</v>
      </c>
      <c r="C1214" s="582">
        <v>2919</v>
      </c>
      <c r="D1214" s="582">
        <v>2814.38</v>
      </c>
      <c r="E1214" s="582">
        <v>3000</v>
      </c>
      <c r="F1214" s="582"/>
      <c r="G1214" s="582">
        <v>3000</v>
      </c>
      <c r="H1214" s="582"/>
      <c r="I1214" s="639">
        <f>F1214/C1214</f>
        <v>0</v>
      </c>
      <c r="J1214" s="567"/>
      <c r="K1214" s="568"/>
    </row>
    <row r="1215" spans="1:11" x14ac:dyDescent="0.25">
      <c r="A1215" s="575"/>
      <c r="B1215" s="576" t="s">
        <v>370</v>
      </c>
      <c r="C1215" s="611">
        <v>0</v>
      </c>
      <c r="D1215" s="582">
        <v>0</v>
      </c>
      <c r="E1215" s="582">
        <v>1E-3</v>
      </c>
      <c r="F1215" s="582"/>
      <c r="G1215" s="582">
        <v>0</v>
      </c>
      <c r="H1215" s="582"/>
      <c r="I1215" s="639" t="e">
        <f>F1215/C1215</f>
        <v>#DIV/0!</v>
      </c>
      <c r="J1215" s="567"/>
      <c r="K1215" s="568"/>
    </row>
    <row r="1216" spans="1:11" x14ac:dyDescent="0.25">
      <c r="A1216" s="575"/>
      <c r="B1216" s="561" t="s">
        <v>116</v>
      </c>
      <c r="C1216" s="579">
        <f>SUM(C1213:C1215)</f>
        <v>61296</v>
      </c>
      <c r="D1216" s="579">
        <f t="shared" ref="D1216:H1216" si="175">SUM(D1213:D1215)</f>
        <v>49732.469999999994</v>
      </c>
      <c r="E1216" s="579">
        <f>SUM(E1213:E1215)</f>
        <v>53000.000999999997</v>
      </c>
      <c r="F1216" s="579">
        <f t="shared" si="175"/>
        <v>0</v>
      </c>
      <c r="G1216" s="579">
        <f>SUM(G1213:G1215)</f>
        <v>53000</v>
      </c>
      <c r="H1216" s="579">
        <f t="shared" si="175"/>
        <v>0</v>
      </c>
      <c r="I1216" s="639">
        <f>F1216/C1216</f>
        <v>0</v>
      </c>
      <c r="J1216" s="567"/>
      <c r="K1216" s="568"/>
    </row>
    <row r="1217" spans="1:11" x14ac:dyDescent="0.25">
      <c r="A1217" s="575"/>
      <c r="B1217" s="561"/>
      <c r="C1217" s="582"/>
      <c r="D1217" s="582"/>
      <c r="E1217" s="582"/>
      <c r="F1217" s="582"/>
      <c r="G1217" s="582"/>
      <c r="H1217" s="582"/>
      <c r="I1217" s="581"/>
      <c r="J1217" s="567"/>
      <c r="K1217" s="568"/>
    </row>
    <row r="1218" spans="1:11" x14ac:dyDescent="0.25">
      <c r="A1218" s="575"/>
      <c r="B1218" s="561" t="s">
        <v>449</v>
      </c>
      <c r="C1218" s="579">
        <f>C1209</f>
        <v>64019</v>
      </c>
      <c r="D1218" s="579">
        <f t="shared" ref="D1218:H1218" si="176">D1209</f>
        <v>59761.919999999998</v>
      </c>
      <c r="E1218" s="579">
        <f>E1209</f>
        <v>61088.86</v>
      </c>
      <c r="F1218" s="579">
        <f t="shared" si="176"/>
        <v>0</v>
      </c>
      <c r="G1218" s="579">
        <f>G1209</f>
        <v>61089</v>
      </c>
      <c r="H1218" s="579">
        <f t="shared" si="176"/>
        <v>0</v>
      </c>
      <c r="I1218" s="639">
        <f t="shared" ref="I1218:I1223" si="177">F1218/C1218</f>
        <v>0</v>
      </c>
      <c r="J1218" s="567"/>
      <c r="K1218" s="568"/>
    </row>
    <row r="1219" spans="1:11" x14ac:dyDescent="0.25">
      <c r="A1219" s="560"/>
      <c r="B1219" s="561" t="s">
        <v>116</v>
      </c>
      <c r="C1219" s="579">
        <f>C1216</f>
        <v>61296</v>
      </c>
      <c r="D1219" s="579">
        <f t="shared" ref="D1219:H1219" si="178">D1216</f>
        <v>49732.469999999994</v>
      </c>
      <c r="E1219" s="579">
        <f>E1216</f>
        <v>53000.000999999997</v>
      </c>
      <c r="F1219" s="579">
        <f t="shared" si="178"/>
        <v>0</v>
      </c>
      <c r="G1219" s="579">
        <f>G1216</f>
        <v>53000</v>
      </c>
      <c r="H1219" s="579">
        <f t="shared" si="178"/>
        <v>0</v>
      </c>
      <c r="I1219" s="639">
        <f t="shared" si="177"/>
        <v>0</v>
      </c>
      <c r="J1219" s="567"/>
      <c r="K1219" s="568"/>
    </row>
    <row r="1220" spans="1:11" x14ac:dyDescent="0.25">
      <c r="A1220" s="560"/>
      <c r="B1220" s="561" t="s">
        <v>450</v>
      </c>
      <c r="C1220" s="616">
        <f>C1218-C1219</f>
        <v>2723</v>
      </c>
      <c r="D1220" s="616">
        <f t="shared" ref="D1220:H1220" si="179">D1218-D1219</f>
        <v>10029.450000000004</v>
      </c>
      <c r="E1220" s="616">
        <f>E1218-E1219</f>
        <v>8088.859000000004</v>
      </c>
      <c r="F1220" s="616">
        <f t="shared" si="179"/>
        <v>0</v>
      </c>
      <c r="G1220" s="616">
        <f>G1218-G1219</f>
        <v>8089</v>
      </c>
      <c r="H1220" s="616">
        <f t="shared" si="179"/>
        <v>0</v>
      </c>
      <c r="I1220" s="639">
        <f t="shared" si="177"/>
        <v>0</v>
      </c>
      <c r="J1220" s="567"/>
      <c r="K1220" s="568"/>
    </row>
    <row r="1221" spans="1:11" x14ac:dyDescent="0.25">
      <c r="A1221" s="560"/>
      <c r="B1221" s="561" t="s">
        <v>451</v>
      </c>
      <c r="C1221" s="616">
        <f>C1200+C1220</f>
        <v>77013</v>
      </c>
      <c r="D1221" s="616">
        <f t="shared" ref="D1221:F1221" si="180">D1200+D1220</f>
        <v>10029.450000000004</v>
      </c>
      <c r="E1221" s="616">
        <f>E1200+E1220</f>
        <v>87228.858999999997</v>
      </c>
      <c r="F1221" s="616">
        <f t="shared" si="180"/>
        <v>0</v>
      </c>
      <c r="G1221" s="616">
        <f>G1200+G1220</f>
        <v>87229</v>
      </c>
      <c r="H1221" s="616"/>
      <c r="I1221" s="639">
        <f t="shared" si="177"/>
        <v>0</v>
      </c>
      <c r="J1221" s="567"/>
      <c r="K1221" s="568"/>
    </row>
    <row r="1222" spans="1:11" x14ac:dyDescent="0.25">
      <c r="A1222" s="560"/>
      <c r="B1222" s="561" t="s">
        <v>370</v>
      </c>
      <c r="C1222" s="616">
        <v>1E-3</v>
      </c>
      <c r="D1222" s="616">
        <v>0</v>
      </c>
      <c r="E1222" s="616">
        <v>0</v>
      </c>
      <c r="F1222" s="616">
        <v>1E-3</v>
      </c>
      <c r="G1222" s="616">
        <v>0</v>
      </c>
      <c r="H1222" s="616">
        <v>0</v>
      </c>
      <c r="I1222" s="639">
        <f t="shared" si="177"/>
        <v>1</v>
      </c>
      <c r="J1222" s="567"/>
      <c r="K1222" s="568"/>
    </row>
    <row r="1223" spans="1:11" x14ac:dyDescent="0.25">
      <c r="A1223" s="560"/>
      <c r="B1223" s="561" t="s">
        <v>465</v>
      </c>
      <c r="C1223" s="616">
        <f>C1221-C1222</f>
        <v>77012.998999999996</v>
      </c>
      <c r="D1223" s="616">
        <f t="shared" ref="D1223:H1223" si="181">D1221-D1222</f>
        <v>10029.450000000004</v>
      </c>
      <c r="E1223" s="616">
        <f>E1221-E1222</f>
        <v>87228.858999999997</v>
      </c>
      <c r="F1223" s="616">
        <f t="shared" si="181"/>
        <v>-1E-3</v>
      </c>
      <c r="G1223" s="616">
        <f>G1221-G1222</f>
        <v>87229</v>
      </c>
      <c r="H1223" s="616">
        <f t="shared" si="181"/>
        <v>0</v>
      </c>
      <c r="I1223" s="639">
        <f t="shared" si="177"/>
        <v>-1.2984820913155194E-8</v>
      </c>
      <c r="J1223" s="567"/>
      <c r="K1223" s="568"/>
    </row>
    <row r="1224" spans="1:11" s="569" customFormat="1" x14ac:dyDescent="0.25">
      <c r="A1224" s="575"/>
      <c r="B1224" s="576"/>
      <c r="C1224" s="564"/>
      <c r="D1224" s="576"/>
      <c r="E1224" s="576"/>
      <c r="F1224" s="564"/>
      <c r="G1224" s="581"/>
      <c r="H1224" s="581"/>
      <c r="I1224" s="581"/>
      <c r="J1224" s="567"/>
      <c r="K1224" s="568"/>
    </row>
    <row r="1225" spans="1:11" x14ac:dyDescent="0.25">
      <c r="A1225" s="686">
        <v>230</v>
      </c>
      <c r="B1225" s="628" t="s">
        <v>578</v>
      </c>
      <c r="C1225" s="630">
        <v>2017</v>
      </c>
      <c r="D1225" s="629" t="s">
        <v>1236</v>
      </c>
      <c r="E1225" s="629">
        <v>2018</v>
      </c>
      <c r="F1225" s="630" t="s">
        <v>1236</v>
      </c>
      <c r="G1225" s="631" t="s">
        <v>4</v>
      </c>
      <c r="H1225" s="631">
        <v>2019</v>
      </c>
      <c r="I1225" s="627" t="s">
        <v>579</v>
      </c>
      <c r="J1225" s="567"/>
      <c r="K1225" s="568"/>
    </row>
    <row r="1226" spans="1:11" x14ac:dyDescent="0.25">
      <c r="A1226" s="575"/>
      <c r="B1226" s="576" t="s">
        <v>93</v>
      </c>
      <c r="C1226" s="630" t="s">
        <v>6</v>
      </c>
      <c r="D1226" s="634">
        <v>43069</v>
      </c>
      <c r="E1226" s="629" t="s">
        <v>6</v>
      </c>
      <c r="F1226" s="634">
        <v>43131</v>
      </c>
      <c r="G1226" s="635" t="s">
        <v>1131</v>
      </c>
      <c r="H1226" s="635" t="s">
        <v>6</v>
      </c>
      <c r="I1226" s="627" t="s">
        <v>7</v>
      </c>
      <c r="J1226" s="567"/>
      <c r="K1226" s="568"/>
    </row>
    <row r="1227" spans="1:11" x14ac:dyDescent="0.25">
      <c r="A1227" s="561" t="s">
        <v>1233</v>
      </c>
      <c r="B1227" s="576"/>
      <c r="C1227" s="579">
        <v>-5014</v>
      </c>
      <c r="D1227" s="759"/>
      <c r="E1227" s="579">
        <v>1120</v>
      </c>
      <c r="F1227" s="579"/>
      <c r="G1227" s="579">
        <v>1120</v>
      </c>
      <c r="H1227" s="579"/>
      <c r="I1227" s="581"/>
      <c r="J1227" s="666"/>
      <c r="K1227" s="568"/>
    </row>
    <row r="1228" spans="1:11" x14ac:dyDescent="0.25">
      <c r="A1228" s="575"/>
      <c r="B1228" s="576"/>
      <c r="C1228" s="582"/>
      <c r="D1228" s="582"/>
      <c r="E1228" s="582"/>
      <c r="F1228" s="582"/>
      <c r="G1228" s="582"/>
      <c r="H1228" s="582"/>
      <c r="I1228" s="581"/>
      <c r="J1228" s="666"/>
      <c r="K1228" s="568"/>
    </row>
    <row r="1229" spans="1:11" x14ac:dyDescent="0.25">
      <c r="A1229" s="580" t="s">
        <v>580</v>
      </c>
      <c r="B1229" s="561" t="s">
        <v>581</v>
      </c>
      <c r="C1229" s="582"/>
      <c r="D1229" s="582"/>
      <c r="E1229" s="582"/>
      <c r="F1229" s="582"/>
      <c r="G1229" s="582"/>
      <c r="H1229" s="582"/>
      <c r="I1229" s="581"/>
      <c r="J1229" s="666"/>
      <c r="K1229" s="568"/>
    </row>
    <row r="1230" spans="1:11" x14ac:dyDescent="0.25">
      <c r="A1230" s="580"/>
      <c r="B1230" s="576"/>
      <c r="C1230" s="582"/>
      <c r="D1230" s="582"/>
      <c r="E1230" s="582"/>
      <c r="F1230" s="582"/>
      <c r="G1230" s="582"/>
      <c r="H1230" s="582"/>
      <c r="I1230" s="581"/>
      <c r="J1230" s="567"/>
      <c r="K1230" s="568"/>
    </row>
    <row r="1231" spans="1:11" x14ac:dyDescent="0.25">
      <c r="A1231" s="575">
        <v>37080</v>
      </c>
      <c r="B1231" s="576" t="s">
        <v>582</v>
      </c>
      <c r="C1231" s="611">
        <v>50000</v>
      </c>
      <c r="D1231" s="582">
        <v>19978.509999999998</v>
      </c>
      <c r="E1231" s="582">
        <v>72035.59</v>
      </c>
      <c r="F1231" s="582"/>
      <c r="G1231" s="582">
        <v>72035.59</v>
      </c>
      <c r="H1231" s="582"/>
      <c r="I1231" s="639">
        <f>F1231/C1231</f>
        <v>0</v>
      </c>
      <c r="J1231" s="655"/>
      <c r="K1231" s="568"/>
    </row>
    <row r="1232" spans="1:11" x14ac:dyDescent="0.25">
      <c r="A1232" s="590">
        <v>37083</v>
      </c>
      <c r="B1232" s="576" t="s">
        <v>583</v>
      </c>
      <c r="C1232" s="611">
        <v>8000</v>
      </c>
      <c r="D1232" s="582">
        <v>0</v>
      </c>
      <c r="E1232" s="582">
        <v>0</v>
      </c>
      <c r="F1232" s="582"/>
      <c r="G1232" s="582">
        <v>0</v>
      </c>
      <c r="H1232" s="582"/>
      <c r="I1232" s="639">
        <f>F1232/C1232</f>
        <v>0</v>
      </c>
      <c r="J1232" s="567"/>
      <c r="K1232" s="568"/>
    </row>
    <row r="1233" spans="1:11" x14ac:dyDescent="0.25">
      <c r="A1233" s="590"/>
      <c r="B1233" s="576" t="s">
        <v>584</v>
      </c>
      <c r="C1233" s="611"/>
      <c r="D1233" s="582">
        <v>0</v>
      </c>
      <c r="E1233" s="582">
        <v>1E-3</v>
      </c>
      <c r="F1233" s="582"/>
      <c r="G1233" s="582">
        <v>0</v>
      </c>
      <c r="H1233" s="582"/>
      <c r="I1233" s="639" t="e">
        <f>F1233/C1233</f>
        <v>#DIV/0!</v>
      </c>
      <c r="J1233" s="567"/>
      <c r="K1233" s="568"/>
    </row>
    <row r="1234" spans="1:11" x14ac:dyDescent="0.25">
      <c r="A1234" s="590"/>
      <c r="B1234" s="561" t="s">
        <v>536</v>
      </c>
      <c r="C1234" s="611"/>
      <c r="D1234" s="582"/>
      <c r="E1234" s="582"/>
      <c r="F1234" s="582"/>
      <c r="G1234" s="582"/>
      <c r="H1234" s="582"/>
      <c r="I1234" s="639"/>
      <c r="J1234" s="567"/>
      <c r="K1234" s="568"/>
    </row>
    <row r="1235" spans="1:11" x14ac:dyDescent="0.25">
      <c r="A1235" s="590">
        <v>90000</v>
      </c>
      <c r="B1235" s="576" t="s">
        <v>585</v>
      </c>
      <c r="C1235" s="611"/>
      <c r="D1235" s="582">
        <v>0</v>
      </c>
      <c r="E1235" s="582"/>
      <c r="F1235" s="582"/>
      <c r="G1235" s="582"/>
      <c r="H1235" s="582"/>
      <c r="I1235" s="639" t="e">
        <f>F1235/C1235</f>
        <v>#DIV/0!</v>
      </c>
      <c r="J1235" s="567"/>
      <c r="K1235" s="568"/>
    </row>
    <row r="1236" spans="1:11" x14ac:dyDescent="0.25">
      <c r="A1236" s="590"/>
      <c r="B1236" s="583" t="s">
        <v>586</v>
      </c>
      <c r="C1236" s="589">
        <f>SUM(C1231:C1235)</f>
        <v>58000</v>
      </c>
      <c r="D1236" s="589">
        <f t="shared" ref="D1236:H1236" si="182">SUM(D1231:D1235)</f>
        <v>19978.509999999998</v>
      </c>
      <c r="E1236" s="589">
        <f>SUM(E1231:E1235)</f>
        <v>72035.591</v>
      </c>
      <c r="F1236" s="589">
        <f t="shared" si="182"/>
        <v>0</v>
      </c>
      <c r="G1236" s="589">
        <f>SUM(G1231:G1235)</f>
        <v>72035.59</v>
      </c>
      <c r="H1236" s="589">
        <f t="shared" si="182"/>
        <v>0</v>
      </c>
      <c r="I1236" s="639">
        <f>F1236/C1236</f>
        <v>0</v>
      </c>
      <c r="J1236" s="567"/>
      <c r="K1236" s="568"/>
    </row>
    <row r="1237" spans="1:11" x14ac:dyDescent="0.25">
      <c r="A1237" s="590"/>
      <c r="B1237" s="583"/>
      <c r="C1237" s="611"/>
      <c r="D1237" s="589"/>
      <c r="E1237" s="589"/>
      <c r="F1237" s="582"/>
      <c r="G1237" s="582"/>
      <c r="H1237" s="582"/>
      <c r="I1237" s="581"/>
      <c r="J1237" s="567"/>
      <c r="K1237" s="568"/>
    </row>
    <row r="1238" spans="1:11" x14ac:dyDescent="0.25">
      <c r="A1238" s="575"/>
      <c r="B1238" s="561" t="s">
        <v>373</v>
      </c>
      <c r="C1238" s="579">
        <f>C1236</f>
        <v>58000</v>
      </c>
      <c r="D1238" s="579">
        <f t="shared" ref="D1238:H1238" si="183">D1236</f>
        <v>19978.509999999998</v>
      </c>
      <c r="E1238" s="579">
        <f>E1236</f>
        <v>72035.591</v>
      </c>
      <c r="F1238" s="579">
        <f t="shared" si="183"/>
        <v>0</v>
      </c>
      <c r="G1238" s="579">
        <f>G1236</f>
        <v>72035.59</v>
      </c>
      <c r="H1238" s="579">
        <f t="shared" si="183"/>
        <v>0</v>
      </c>
      <c r="I1238" s="639">
        <f>F1238/C1238</f>
        <v>0</v>
      </c>
      <c r="J1238" s="567"/>
      <c r="K1238" s="568"/>
    </row>
    <row r="1239" spans="1:11" s="569" customFormat="1" x14ac:dyDescent="0.25">
      <c r="A1239" s="575"/>
      <c r="B1239" s="561"/>
      <c r="C1239" s="564"/>
      <c r="D1239" s="601"/>
      <c r="E1239" s="576"/>
      <c r="F1239" s="564"/>
      <c r="G1239" s="581"/>
      <c r="H1239" s="581"/>
      <c r="I1239" s="581"/>
      <c r="J1239" s="567"/>
      <c r="K1239" s="568"/>
    </row>
    <row r="1240" spans="1:11" x14ac:dyDescent="0.25">
      <c r="A1240" s="755" t="s">
        <v>587</v>
      </c>
      <c r="B1240" s="624" t="s">
        <v>588</v>
      </c>
      <c r="C1240" s="625">
        <v>2017</v>
      </c>
      <c r="D1240" s="631" t="s">
        <v>1236</v>
      </c>
      <c r="E1240" s="631">
        <v>2018</v>
      </c>
      <c r="F1240" s="625" t="s">
        <v>1236</v>
      </c>
      <c r="G1240" s="631" t="s">
        <v>4</v>
      </c>
      <c r="H1240" s="631">
        <v>2019</v>
      </c>
      <c r="I1240" s="627" t="s">
        <v>5</v>
      </c>
      <c r="J1240" s="567"/>
      <c r="K1240" s="568"/>
    </row>
    <row r="1241" spans="1:11" x14ac:dyDescent="0.25">
      <c r="A1241" s="575"/>
      <c r="B1241" s="576"/>
      <c r="C1241" s="625" t="s">
        <v>6</v>
      </c>
      <c r="D1241" s="635">
        <v>43069</v>
      </c>
      <c r="E1241" s="631" t="s">
        <v>6</v>
      </c>
      <c r="F1241" s="634">
        <v>43131</v>
      </c>
      <c r="G1241" s="635" t="s">
        <v>1131</v>
      </c>
      <c r="H1241" s="635" t="s">
        <v>6</v>
      </c>
      <c r="I1241" s="627" t="s">
        <v>92</v>
      </c>
      <c r="J1241" s="567"/>
      <c r="K1241" s="568"/>
    </row>
    <row r="1242" spans="1:11" x14ac:dyDescent="0.25">
      <c r="A1242" s="575">
        <v>59701</v>
      </c>
      <c r="B1242" s="576" t="s">
        <v>589</v>
      </c>
      <c r="C1242" s="564">
        <v>31750</v>
      </c>
      <c r="D1242" s="581">
        <v>40750</v>
      </c>
      <c r="E1242" s="581">
        <v>41500</v>
      </c>
      <c r="F1242" s="564"/>
      <c r="G1242" s="581">
        <v>41500</v>
      </c>
      <c r="H1242" s="581"/>
      <c r="I1242" s="639">
        <f>F1242/C1242</f>
        <v>0</v>
      </c>
      <c r="J1242" s="567"/>
      <c r="K1242" s="568"/>
    </row>
    <row r="1243" spans="1:11" x14ac:dyDescent="0.25">
      <c r="A1243" s="575"/>
      <c r="B1243" s="576" t="s">
        <v>590</v>
      </c>
      <c r="C1243" s="564"/>
      <c r="D1243" s="581">
        <v>0</v>
      </c>
      <c r="E1243" s="581">
        <v>0.01</v>
      </c>
      <c r="F1243" s="564"/>
      <c r="G1243" s="581">
        <v>0</v>
      </c>
      <c r="H1243" s="581"/>
      <c r="I1243" s="639" t="e">
        <f>F1243/C1243</f>
        <v>#DIV/0!</v>
      </c>
      <c r="J1243" s="567"/>
      <c r="K1243" s="568"/>
    </row>
    <row r="1244" spans="1:11" x14ac:dyDescent="0.25">
      <c r="A1244" s="590"/>
      <c r="B1244" s="576" t="s">
        <v>591</v>
      </c>
      <c r="C1244" s="564">
        <v>8000</v>
      </c>
      <c r="D1244" s="581">
        <v>0</v>
      </c>
      <c r="E1244" s="581">
        <v>0</v>
      </c>
      <c r="F1244" s="564"/>
      <c r="G1244" s="581">
        <v>0</v>
      </c>
      <c r="H1244" s="581"/>
      <c r="I1244" s="639">
        <f>F1244/C1244</f>
        <v>0</v>
      </c>
      <c r="J1244" s="567"/>
      <c r="K1244" s="568"/>
    </row>
    <row r="1245" spans="1:11" x14ac:dyDescent="0.25">
      <c r="A1245" s="598"/>
      <c r="B1245" s="583" t="s">
        <v>507</v>
      </c>
      <c r="C1245" s="588">
        <f>SUM(C1242:C1244)</f>
        <v>39750</v>
      </c>
      <c r="D1245" s="587">
        <f t="shared" ref="D1245:H1245" si="184">SUM(D1242:D1244)</f>
        <v>40750</v>
      </c>
      <c r="E1245" s="587">
        <f>SUM(E1242:E1244)</f>
        <v>41500.01</v>
      </c>
      <c r="F1245" s="588">
        <f t="shared" si="184"/>
        <v>0</v>
      </c>
      <c r="G1245" s="587">
        <f>SUM(G1242:G1244)</f>
        <v>41500</v>
      </c>
      <c r="H1245" s="587">
        <f t="shared" si="184"/>
        <v>0</v>
      </c>
      <c r="I1245" s="639">
        <f>F1245/C1245</f>
        <v>0</v>
      </c>
      <c r="J1245" s="699"/>
      <c r="K1245" s="700"/>
    </row>
    <row r="1246" spans="1:11" s="569" customFormat="1" x14ac:dyDescent="0.25">
      <c r="A1246" s="575"/>
      <c r="B1246" s="583"/>
      <c r="C1246" s="564"/>
      <c r="D1246" s="566"/>
      <c r="E1246" s="576"/>
      <c r="F1246" s="564"/>
      <c r="G1246" s="581"/>
      <c r="H1246" s="581"/>
      <c r="I1246" s="581"/>
      <c r="J1246" s="567"/>
      <c r="K1246" s="568"/>
    </row>
    <row r="1247" spans="1:11" x14ac:dyDescent="0.25">
      <c r="A1247" s="755" t="s">
        <v>592</v>
      </c>
      <c r="B1247" s="624" t="s">
        <v>1163</v>
      </c>
      <c r="C1247" s="625">
        <v>2017</v>
      </c>
      <c r="D1247" s="631" t="s">
        <v>1236</v>
      </c>
      <c r="E1247" s="631">
        <v>2018</v>
      </c>
      <c r="F1247" s="625" t="s">
        <v>1236</v>
      </c>
      <c r="G1247" s="631" t="s">
        <v>4</v>
      </c>
      <c r="H1247" s="631">
        <v>2019</v>
      </c>
      <c r="I1247" s="626" t="s">
        <v>5</v>
      </c>
      <c r="J1247" s="567"/>
      <c r="K1247" s="568"/>
    </row>
    <row r="1248" spans="1:11" x14ac:dyDescent="0.25">
      <c r="A1248" s="575"/>
      <c r="B1248" s="583"/>
      <c r="C1248" s="625" t="s">
        <v>6</v>
      </c>
      <c r="D1248" s="635">
        <v>43069</v>
      </c>
      <c r="E1248" s="631" t="s">
        <v>6</v>
      </c>
      <c r="F1248" s="634">
        <v>43131</v>
      </c>
      <c r="G1248" s="635" t="s">
        <v>1131</v>
      </c>
      <c r="H1248" s="635" t="s">
        <v>6</v>
      </c>
      <c r="I1248" s="626" t="s">
        <v>92</v>
      </c>
      <c r="J1248" s="567"/>
      <c r="K1248" s="568"/>
    </row>
    <row r="1249" spans="1:11" x14ac:dyDescent="0.25">
      <c r="A1249" s="575">
        <v>90000</v>
      </c>
      <c r="B1249" s="576" t="s">
        <v>593</v>
      </c>
      <c r="C1249" s="562">
        <v>17750</v>
      </c>
      <c r="D1249" s="581">
        <v>0</v>
      </c>
      <c r="E1249" s="581">
        <v>31195</v>
      </c>
      <c r="F1249" s="581">
        <v>0</v>
      </c>
      <c r="G1249" s="581">
        <v>31195</v>
      </c>
      <c r="H1249" s="581"/>
      <c r="I1249" s="639">
        <f>F1249/C1249</f>
        <v>0</v>
      </c>
      <c r="J1249" s="904"/>
      <c r="K1249" s="691"/>
    </row>
    <row r="1250" spans="1:11" x14ac:dyDescent="0.25">
      <c r="A1250" s="598"/>
      <c r="B1250" s="583" t="s">
        <v>507</v>
      </c>
      <c r="C1250" s="587">
        <f>SUM(C1249)</f>
        <v>17750</v>
      </c>
      <c r="D1250" s="581">
        <f>+SUM(D1249:D1249)</f>
        <v>0</v>
      </c>
      <c r="E1250" s="581">
        <f>SUM(E1249)</f>
        <v>31195</v>
      </c>
      <c r="F1250" s="587">
        <v>0</v>
      </c>
      <c r="G1250" s="587">
        <f>SUM(G1249)</f>
        <v>31195</v>
      </c>
      <c r="H1250" s="587">
        <f>SUM(H1249:H1249)</f>
        <v>0</v>
      </c>
      <c r="I1250" s="639">
        <f>F1250/C1250</f>
        <v>0</v>
      </c>
      <c r="J1250" s="699"/>
      <c r="K1250" s="700"/>
    </row>
    <row r="1251" spans="1:11" x14ac:dyDescent="0.25">
      <c r="A1251" s="580"/>
      <c r="B1251" s="561" t="s">
        <v>594</v>
      </c>
      <c r="C1251" s="566">
        <f>C1245+C1250</f>
        <v>57500</v>
      </c>
      <c r="D1251" s="566"/>
      <c r="E1251" s="566">
        <f>E1245+E1250</f>
        <v>72695.010000000009</v>
      </c>
      <c r="F1251" s="566">
        <f t="shared" ref="F1251:H1251" si="185">F1245+F1250</f>
        <v>0</v>
      </c>
      <c r="G1251" s="566">
        <f>G1245+G1250</f>
        <v>72695</v>
      </c>
      <c r="H1251" s="760">
        <f t="shared" si="185"/>
        <v>0</v>
      </c>
      <c r="I1251" s="639">
        <f>F1251/C1251</f>
        <v>0</v>
      </c>
      <c r="J1251" s="567"/>
      <c r="K1251" s="567"/>
    </row>
    <row r="1252" spans="1:11" x14ac:dyDescent="0.25">
      <c r="A1252" s="598"/>
      <c r="B1252" s="583"/>
      <c r="C1252" s="588"/>
      <c r="D1252" s="761"/>
      <c r="E1252" s="576"/>
      <c r="F1252" s="588"/>
      <c r="G1252" s="587"/>
      <c r="H1252" s="587"/>
      <c r="I1252" s="587"/>
      <c r="J1252" s="699"/>
      <c r="K1252" s="700"/>
    </row>
    <row r="1253" spans="1:11" x14ac:dyDescent="0.25">
      <c r="A1253" s="575"/>
      <c r="B1253" s="561" t="s">
        <v>595</v>
      </c>
      <c r="C1253" s="565">
        <f>C1238</f>
        <v>58000</v>
      </c>
      <c r="D1253" s="566">
        <f t="shared" ref="D1253:H1253" si="186">D1238</f>
        <v>19978.509999999998</v>
      </c>
      <c r="E1253" s="566">
        <f>E1238</f>
        <v>72035.591</v>
      </c>
      <c r="F1253" s="565">
        <f t="shared" si="186"/>
        <v>0</v>
      </c>
      <c r="G1253" s="566">
        <f>G1238</f>
        <v>72035.59</v>
      </c>
      <c r="H1253" s="566">
        <f t="shared" si="186"/>
        <v>0</v>
      </c>
      <c r="I1253" s="639">
        <f t="shared" ref="I1253:I1258" si="187">F1253/C1253</f>
        <v>0</v>
      </c>
      <c r="J1253" s="567"/>
      <c r="K1253" s="568"/>
    </row>
    <row r="1254" spans="1:11" x14ac:dyDescent="0.25">
      <c r="A1254" s="575"/>
      <c r="B1254" s="561" t="s">
        <v>596</v>
      </c>
      <c r="C1254" s="565">
        <f>C1251</f>
        <v>57500</v>
      </c>
      <c r="D1254" s="566">
        <f t="shared" ref="D1254:H1254" si="188">D1251</f>
        <v>0</v>
      </c>
      <c r="E1254" s="566">
        <f>E1251</f>
        <v>72695.010000000009</v>
      </c>
      <c r="F1254" s="565">
        <f t="shared" si="188"/>
        <v>0</v>
      </c>
      <c r="G1254" s="566">
        <f>G1251</f>
        <v>72695</v>
      </c>
      <c r="H1254" s="566">
        <f t="shared" si="188"/>
        <v>0</v>
      </c>
      <c r="I1254" s="639">
        <f t="shared" si="187"/>
        <v>0</v>
      </c>
      <c r="J1254" s="567"/>
      <c r="K1254" s="568"/>
    </row>
    <row r="1255" spans="1:11" x14ac:dyDescent="0.25">
      <c r="A1255" s="575"/>
      <c r="B1255" s="561" t="s">
        <v>597</v>
      </c>
      <c r="C1255" s="565">
        <f>C1253-C1254</f>
        <v>500</v>
      </c>
      <c r="D1255" s="760">
        <f>D1253-D1254</f>
        <v>19978.509999999998</v>
      </c>
      <c r="E1255" s="760">
        <f>E1253-E1254</f>
        <v>-659.41900000000896</v>
      </c>
      <c r="F1255" s="565">
        <f>F1253+F1254</f>
        <v>0</v>
      </c>
      <c r="G1255" s="760">
        <f>G1253-G1254</f>
        <v>-659.41000000000349</v>
      </c>
      <c r="H1255" s="760">
        <f>H1253-H1254</f>
        <v>0</v>
      </c>
      <c r="I1255" s="639">
        <f t="shared" si="187"/>
        <v>0</v>
      </c>
      <c r="J1255" s="567"/>
      <c r="K1255" s="568"/>
    </row>
    <row r="1256" spans="1:11" x14ac:dyDescent="0.25">
      <c r="A1256" s="575"/>
      <c r="B1256" s="561" t="s">
        <v>598</v>
      </c>
      <c r="C1256" s="565">
        <f>C1227+C1255</f>
        <v>-4514</v>
      </c>
      <c r="D1256" s="566">
        <f t="shared" ref="D1256:H1256" si="189">D1227+D1255</f>
        <v>19978.509999999998</v>
      </c>
      <c r="E1256" s="566">
        <f>E1227+E1255</f>
        <v>460.58099999999104</v>
      </c>
      <c r="F1256" s="565">
        <f t="shared" si="189"/>
        <v>0</v>
      </c>
      <c r="G1256" s="566">
        <f>G1227+G1255</f>
        <v>460.58999999999651</v>
      </c>
      <c r="H1256" s="566">
        <f t="shared" si="189"/>
        <v>0</v>
      </c>
      <c r="I1256" s="639">
        <f t="shared" si="187"/>
        <v>0</v>
      </c>
      <c r="J1256" s="567"/>
      <c r="K1256" s="568"/>
    </row>
    <row r="1257" spans="1:11" x14ac:dyDescent="0.25">
      <c r="A1257" s="580"/>
      <c r="B1257" s="561" t="s">
        <v>599</v>
      </c>
      <c r="C1257" s="565">
        <v>0.01</v>
      </c>
      <c r="D1257" s="760">
        <v>0.01</v>
      </c>
      <c r="E1257" s="760">
        <v>0.01</v>
      </c>
      <c r="F1257" s="565">
        <v>0.01</v>
      </c>
      <c r="G1257" s="760">
        <v>0.01</v>
      </c>
      <c r="H1257" s="760">
        <v>0.01</v>
      </c>
      <c r="I1257" s="639">
        <f t="shared" si="187"/>
        <v>1</v>
      </c>
      <c r="J1257" s="567"/>
      <c r="K1257" s="567"/>
    </row>
    <row r="1258" spans="1:11" x14ac:dyDescent="0.25">
      <c r="A1258" s="560"/>
      <c r="B1258" s="561" t="s">
        <v>598</v>
      </c>
      <c r="C1258" s="565">
        <f>C1256-C1257</f>
        <v>-4514.01</v>
      </c>
      <c r="D1258" s="566">
        <f t="shared" ref="D1258:H1258" si="190">D1256-D1257</f>
        <v>19978.5</v>
      </c>
      <c r="E1258" s="566">
        <f>E1256-E1257</f>
        <v>460.57099999999105</v>
      </c>
      <c r="F1258" s="565">
        <f t="shared" si="190"/>
        <v>-0.01</v>
      </c>
      <c r="G1258" s="566">
        <f>G1256-G1257</f>
        <v>460.57999999999652</v>
      </c>
      <c r="H1258" s="566">
        <f t="shared" si="190"/>
        <v>-0.01</v>
      </c>
      <c r="I1258" s="639">
        <f t="shared" si="187"/>
        <v>2.2153251765060332E-6</v>
      </c>
      <c r="J1258" s="567"/>
      <c r="K1258" s="567"/>
    </row>
    <row r="1259" spans="1:11" s="569" customFormat="1" x14ac:dyDescent="0.25">
      <c r="A1259" s="560"/>
      <c r="B1259" s="561"/>
      <c r="C1259" s="564"/>
      <c r="D1259" s="566"/>
      <c r="E1259" s="576"/>
      <c r="F1259" s="565"/>
      <c r="G1259" s="566"/>
      <c r="H1259" s="566"/>
      <c r="I1259" s="566"/>
      <c r="J1259" s="567"/>
      <c r="K1259" s="567"/>
    </row>
    <row r="1260" spans="1:11" x14ac:dyDescent="0.25">
      <c r="A1260" s="749">
        <v>240</v>
      </c>
      <c r="B1260" s="624" t="s">
        <v>600</v>
      </c>
      <c r="C1260" s="625">
        <v>2017</v>
      </c>
      <c r="D1260" s="631" t="s">
        <v>1236</v>
      </c>
      <c r="E1260" s="631">
        <v>2018</v>
      </c>
      <c r="F1260" s="625" t="s">
        <v>1236</v>
      </c>
      <c r="G1260" s="631" t="s">
        <v>4</v>
      </c>
      <c r="H1260" s="631">
        <v>2019</v>
      </c>
      <c r="I1260" s="626" t="s">
        <v>5</v>
      </c>
      <c r="J1260" s="567"/>
      <c r="K1260" s="568"/>
    </row>
    <row r="1261" spans="1:11" x14ac:dyDescent="0.25">
      <c r="A1261" s="590"/>
      <c r="B1261" s="576" t="s">
        <v>93</v>
      </c>
      <c r="C1261" s="625" t="s">
        <v>6</v>
      </c>
      <c r="D1261" s="635">
        <v>43069</v>
      </c>
      <c r="E1261" s="631" t="s">
        <v>6</v>
      </c>
      <c r="F1261" s="634">
        <v>43131</v>
      </c>
      <c r="G1261" s="635" t="s">
        <v>1131</v>
      </c>
      <c r="H1261" s="635" t="s">
        <v>6</v>
      </c>
      <c r="I1261" s="626" t="s">
        <v>7</v>
      </c>
      <c r="J1261" s="567"/>
      <c r="K1261" s="568"/>
    </row>
    <row r="1262" spans="1:11" x14ac:dyDescent="0.25">
      <c r="A1262" s="561" t="s">
        <v>1235</v>
      </c>
      <c r="B1262" s="576"/>
      <c r="C1262" s="566">
        <v>65297.99</v>
      </c>
      <c r="D1262" s="566"/>
      <c r="E1262" s="566">
        <v>71298</v>
      </c>
      <c r="F1262" s="566"/>
      <c r="G1262" s="566">
        <v>71298</v>
      </c>
      <c r="H1262" s="566"/>
      <c r="I1262" s="581"/>
      <c r="J1262" s="567"/>
      <c r="K1262" s="568"/>
    </row>
    <row r="1263" spans="1:11" x14ac:dyDescent="0.25">
      <c r="A1263" s="575"/>
      <c r="B1263" s="576"/>
      <c r="C1263" s="581"/>
      <c r="D1263" s="581"/>
      <c r="E1263" s="581"/>
      <c r="F1263" s="581"/>
      <c r="G1263" s="581"/>
      <c r="H1263" s="581"/>
      <c r="I1263" s="581"/>
      <c r="J1263" s="567"/>
      <c r="K1263" s="568"/>
    </row>
    <row r="1264" spans="1:11" x14ac:dyDescent="0.25">
      <c r="A1264" s="580" t="s">
        <v>601</v>
      </c>
      <c r="B1264" s="576" t="s">
        <v>602</v>
      </c>
      <c r="C1264" s="581"/>
      <c r="D1264" s="581"/>
      <c r="E1264" s="581"/>
      <c r="F1264" s="581"/>
      <c r="G1264" s="581"/>
      <c r="H1264" s="581"/>
      <c r="I1264" s="581"/>
      <c r="J1264" s="567"/>
      <c r="K1264" s="568"/>
    </row>
    <row r="1265" spans="1:11" x14ac:dyDescent="0.25">
      <c r="A1265" s="575"/>
      <c r="B1265" s="576"/>
      <c r="C1265" s="581"/>
      <c r="D1265" s="581"/>
      <c r="E1265" s="581"/>
      <c r="F1265" s="581"/>
      <c r="G1265" s="581"/>
      <c r="H1265" s="581"/>
      <c r="I1265" s="581"/>
      <c r="J1265" s="567"/>
      <c r="K1265" s="568"/>
    </row>
    <row r="1266" spans="1:11" x14ac:dyDescent="0.25">
      <c r="A1266" s="575">
        <v>32340</v>
      </c>
      <c r="B1266" s="576" t="s">
        <v>603</v>
      </c>
      <c r="C1266" s="581">
        <v>0</v>
      </c>
      <c r="D1266" s="581">
        <v>0</v>
      </c>
      <c r="E1266" s="581">
        <v>0</v>
      </c>
      <c r="F1266" s="581"/>
      <c r="G1266" s="581">
        <v>0</v>
      </c>
      <c r="H1266" s="581"/>
      <c r="I1266" s="639" t="e">
        <f t="shared" ref="I1266:I1273" si="191">F1266/C1266</f>
        <v>#DIV/0!</v>
      </c>
      <c r="J1266" s="567"/>
      <c r="K1266" s="568"/>
    </row>
    <row r="1267" spans="1:11" x14ac:dyDescent="0.25">
      <c r="A1267" s="575">
        <v>32370</v>
      </c>
      <c r="B1267" s="576" t="s">
        <v>604</v>
      </c>
      <c r="C1267" s="581">
        <v>0</v>
      </c>
      <c r="D1267" s="581">
        <v>0</v>
      </c>
      <c r="E1267" s="581">
        <v>0.01</v>
      </c>
      <c r="F1267" s="581"/>
      <c r="G1267" s="581">
        <v>0</v>
      </c>
      <c r="H1267" s="581"/>
      <c r="I1267" s="639" t="e">
        <f t="shared" si="191"/>
        <v>#DIV/0!</v>
      </c>
      <c r="J1267" s="567"/>
      <c r="K1267" s="568"/>
    </row>
    <row r="1268" spans="1:11" x14ac:dyDescent="0.25">
      <c r="A1268" s="575">
        <v>38100</v>
      </c>
      <c r="B1268" s="576" t="s">
        <v>605</v>
      </c>
      <c r="C1268" s="581">
        <v>0</v>
      </c>
      <c r="D1268" s="581">
        <v>0</v>
      </c>
      <c r="E1268" s="581">
        <v>0.01</v>
      </c>
      <c r="F1268" s="581"/>
      <c r="G1268" s="581">
        <v>0</v>
      </c>
      <c r="H1268" s="581"/>
      <c r="I1268" s="639" t="e">
        <f t="shared" si="191"/>
        <v>#DIV/0!</v>
      </c>
      <c r="J1268" s="567"/>
      <c r="K1268" s="568"/>
    </row>
    <row r="1269" spans="1:11" x14ac:dyDescent="0.25">
      <c r="A1269" s="575">
        <v>38102</v>
      </c>
      <c r="B1269" s="576" t="s">
        <v>606</v>
      </c>
      <c r="C1269" s="581">
        <v>3000</v>
      </c>
      <c r="D1269" s="581">
        <v>3000</v>
      </c>
      <c r="E1269" s="581">
        <v>3000</v>
      </c>
      <c r="F1269" s="581"/>
      <c r="G1269" s="581">
        <v>3000</v>
      </c>
      <c r="H1269" s="581"/>
      <c r="I1269" s="639">
        <f t="shared" si="191"/>
        <v>0</v>
      </c>
      <c r="J1269" s="567"/>
      <c r="K1269" s="568"/>
    </row>
    <row r="1270" spans="1:11" x14ac:dyDescent="0.25">
      <c r="A1270" s="575"/>
      <c r="B1270" s="576" t="s">
        <v>607</v>
      </c>
      <c r="C1270" s="581"/>
      <c r="D1270" s="581">
        <v>0</v>
      </c>
      <c r="E1270" s="581">
        <v>0.01</v>
      </c>
      <c r="F1270" s="581"/>
      <c r="G1270" s="581">
        <v>0</v>
      </c>
      <c r="H1270" s="581"/>
      <c r="I1270" s="639" t="e">
        <f t="shared" si="191"/>
        <v>#DIV/0!</v>
      </c>
      <c r="J1270" s="567"/>
      <c r="K1270" s="568"/>
    </row>
    <row r="1271" spans="1:11" x14ac:dyDescent="0.25">
      <c r="A1271" s="575"/>
      <c r="B1271" s="576" t="s">
        <v>608</v>
      </c>
      <c r="C1271" s="581"/>
      <c r="D1271" s="581">
        <v>0</v>
      </c>
      <c r="E1271" s="581">
        <v>0.01</v>
      </c>
      <c r="F1271" s="581"/>
      <c r="G1271" s="581">
        <v>0</v>
      </c>
      <c r="H1271" s="581"/>
      <c r="I1271" s="639" t="e">
        <f t="shared" si="191"/>
        <v>#DIV/0!</v>
      </c>
      <c r="J1271" s="567"/>
      <c r="K1271" s="568"/>
    </row>
    <row r="1272" spans="1:11" x14ac:dyDescent="0.25">
      <c r="A1272" s="575">
        <v>38103</v>
      </c>
      <c r="B1272" s="576" t="s">
        <v>370</v>
      </c>
      <c r="C1272" s="581"/>
      <c r="D1272" s="581">
        <v>0</v>
      </c>
      <c r="E1272" s="581">
        <v>0.01</v>
      </c>
      <c r="F1272" s="581"/>
      <c r="G1272" s="581">
        <v>0</v>
      </c>
      <c r="H1272" s="581"/>
      <c r="I1272" s="639" t="e">
        <f t="shared" si="191"/>
        <v>#DIV/0!</v>
      </c>
      <c r="J1272" s="567"/>
      <c r="K1272" s="568"/>
    </row>
    <row r="1273" spans="1:11" x14ac:dyDescent="0.25">
      <c r="A1273" s="575"/>
      <c r="B1273" s="561" t="s">
        <v>373</v>
      </c>
      <c r="C1273" s="566">
        <f>SUM(C1266:C1272)</f>
        <v>3000</v>
      </c>
      <c r="D1273" s="566">
        <f t="shared" ref="D1273:H1273" si="192">SUM(D1266:D1272)</f>
        <v>3000</v>
      </c>
      <c r="E1273" s="566">
        <f>SUM(E1266:E1272)</f>
        <v>3000.0500000000006</v>
      </c>
      <c r="F1273" s="566">
        <f t="shared" si="192"/>
        <v>0</v>
      </c>
      <c r="G1273" s="566">
        <f>SUM(G1266:G1272)</f>
        <v>3000</v>
      </c>
      <c r="H1273" s="566">
        <f t="shared" si="192"/>
        <v>0</v>
      </c>
      <c r="I1273" s="639">
        <f t="shared" si="191"/>
        <v>0</v>
      </c>
      <c r="J1273" s="567"/>
      <c r="K1273" s="568"/>
    </row>
    <row r="1274" spans="1:11" s="569" customFormat="1" x14ac:dyDescent="0.25">
      <c r="A1274" s="575"/>
      <c r="B1274" s="576"/>
      <c r="C1274" s="564"/>
      <c r="D1274" s="601"/>
      <c r="E1274" s="576"/>
      <c r="F1274" s="564"/>
      <c r="G1274" s="581"/>
      <c r="H1274" s="581"/>
      <c r="I1274" s="581"/>
      <c r="J1274" s="567"/>
      <c r="K1274" s="568"/>
    </row>
    <row r="1275" spans="1:11" x14ac:dyDescent="0.25">
      <c r="A1275" s="764" t="s">
        <v>609</v>
      </c>
      <c r="B1275" s="688" t="s">
        <v>610</v>
      </c>
      <c r="C1275" s="630">
        <v>2017</v>
      </c>
      <c r="D1275" s="629" t="s">
        <v>1236</v>
      </c>
      <c r="E1275" s="629">
        <v>2018</v>
      </c>
      <c r="F1275" s="625" t="s">
        <v>1236</v>
      </c>
      <c r="G1275" s="631" t="s">
        <v>4</v>
      </c>
      <c r="H1275" s="631">
        <v>2019</v>
      </c>
      <c r="I1275" s="627" t="s">
        <v>5</v>
      </c>
      <c r="J1275" s="567"/>
      <c r="K1275" s="568"/>
    </row>
    <row r="1276" spans="1:11" x14ac:dyDescent="0.25">
      <c r="A1276" s="575"/>
      <c r="B1276" s="576"/>
      <c r="C1276" s="630" t="s">
        <v>6</v>
      </c>
      <c r="D1276" s="634">
        <v>43069</v>
      </c>
      <c r="E1276" s="629" t="s">
        <v>6</v>
      </c>
      <c r="F1276" s="634">
        <v>43131</v>
      </c>
      <c r="G1276" s="635" t="s">
        <v>1131</v>
      </c>
      <c r="H1276" s="635" t="s">
        <v>6</v>
      </c>
      <c r="I1276" s="627" t="s">
        <v>92</v>
      </c>
      <c r="J1276" s="567"/>
      <c r="K1276" s="568"/>
    </row>
    <row r="1277" spans="1:11" x14ac:dyDescent="0.25">
      <c r="A1277" s="575">
        <v>64000</v>
      </c>
      <c r="B1277" s="576" t="s">
        <v>1241</v>
      </c>
      <c r="C1277" s="564">
        <v>0.01</v>
      </c>
      <c r="D1277" s="581">
        <v>0</v>
      </c>
      <c r="E1277" s="581">
        <v>0.01</v>
      </c>
      <c r="F1277" s="564">
        <v>0</v>
      </c>
      <c r="G1277" s="581">
        <v>0</v>
      </c>
      <c r="H1277" s="581">
        <v>0</v>
      </c>
      <c r="I1277" s="639">
        <f>F1277/C1277</f>
        <v>0</v>
      </c>
      <c r="J1277" s="567"/>
      <c r="K1277" s="568"/>
    </row>
    <row r="1278" spans="1:11" x14ac:dyDescent="0.25">
      <c r="A1278" s="575"/>
      <c r="B1278" s="576" t="s">
        <v>611</v>
      </c>
      <c r="C1278" s="564">
        <v>0.01</v>
      </c>
      <c r="D1278" s="581">
        <v>0</v>
      </c>
      <c r="E1278" s="581">
        <v>0.01</v>
      </c>
      <c r="F1278" s="564">
        <v>0</v>
      </c>
      <c r="G1278" s="581">
        <v>0</v>
      </c>
      <c r="H1278" s="581">
        <v>0</v>
      </c>
      <c r="I1278" s="639">
        <f>F1278/C1278</f>
        <v>0</v>
      </c>
      <c r="J1278" s="567"/>
      <c r="K1278" s="568"/>
    </row>
    <row r="1279" spans="1:11" x14ac:dyDescent="0.25">
      <c r="A1279" s="575"/>
      <c r="B1279" s="583" t="s">
        <v>507</v>
      </c>
      <c r="C1279" s="585">
        <f>SUM(C1277:C1278)</f>
        <v>0.02</v>
      </c>
      <c r="D1279" s="584">
        <f t="shared" ref="D1279:H1279" si="193">SUM(D1277:D1278)</f>
        <v>0</v>
      </c>
      <c r="E1279" s="584">
        <f>SUM(E1277:E1278)</f>
        <v>0.02</v>
      </c>
      <c r="F1279" s="585">
        <f t="shared" si="193"/>
        <v>0</v>
      </c>
      <c r="G1279" s="584">
        <f>SUM(G1277:G1278)</f>
        <v>0</v>
      </c>
      <c r="H1279" s="584">
        <f t="shared" si="193"/>
        <v>0</v>
      </c>
      <c r="I1279" s="639">
        <f>F1279/C1279</f>
        <v>0</v>
      </c>
      <c r="J1279" s="567"/>
      <c r="K1279" s="568"/>
    </row>
    <row r="1280" spans="1:11" s="569" customFormat="1" x14ac:dyDescent="0.25">
      <c r="A1280" s="575"/>
      <c r="B1280" s="583"/>
      <c r="C1280" s="564"/>
      <c r="D1280" s="584"/>
      <c r="E1280" s="576"/>
      <c r="F1280" s="564"/>
      <c r="G1280" s="581"/>
      <c r="H1280" s="581"/>
      <c r="I1280" s="581"/>
      <c r="J1280" s="567"/>
      <c r="K1280" s="568"/>
    </row>
    <row r="1281" spans="1:11" x14ac:dyDescent="0.25">
      <c r="A1281" s="687" t="s">
        <v>612</v>
      </c>
      <c r="B1281" s="688" t="s">
        <v>323</v>
      </c>
      <c r="C1281" s="630">
        <v>2017</v>
      </c>
      <c r="D1281" s="629" t="s">
        <v>1236</v>
      </c>
      <c r="E1281" s="629">
        <v>2018</v>
      </c>
      <c r="F1281" s="625" t="s">
        <v>1236</v>
      </c>
      <c r="G1281" s="631" t="s">
        <v>4</v>
      </c>
      <c r="H1281" s="631">
        <v>2019</v>
      </c>
      <c r="I1281" s="627" t="s">
        <v>5</v>
      </c>
      <c r="J1281" s="567"/>
      <c r="K1281" s="568"/>
    </row>
    <row r="1282" spans="1:11" x14ac:dyDescent="0.25">
      <c r="A1282" s="560"/>
      <c r="B1282" s="561"/>
      <c r="C1282" s="630" t="s">
        <v>6</v>
      </c>
      <c r="D1282" s="634">
        <v>43069</v>
      </c>
      <c r="E1282" s="629" t="s">
        <v>6</v>
      </c>
      <c r="F1282" s="634">
        <v>43131</v>
      </c>
      <c r="G1282" s="635" t="s">
        <v>1131</v>
      </c>
      <c r="H1282" s="635" t="s">
        <v>6</v>
      </c>
      <c r="I1282" s="627" t="s">
        <v>92</v>
      </c>
      <c r="J1282" s="567"/>
      <c r="K1282" s="568"/>
    </row>
    <row r="1283" spans="1:11" x14ac:dyDescent="0.25">
      <c r="A1283" s="575">
        <v>70300</v>
      </c>
      <c r="B1283" s="576" t="s">
        <v>491</v>
      </c>
      <c r="C1283" s="564">
        <v>0.01</v>
      </c>
      <c r="D1283" s="581">
        <v>0</v>
      </c>
      <c r="E1283" s="581">
        <v>0.01</v>
      </c>
      <c r="F1283" s="564">
        <v>0</v>
      </c>
      <c r="G1283" s="581">
        <v>0</v>
      </c>
      <c r="H1283" s="581">
        <v>0</v>
      </c>
      <c r="I1283" s="639">
        <f>F1283/C1283</f>
        <v>0</v>
      </c>
      <c r="J1283" s="567"/>
      <c r="K1283" s="568"/>
    </row>
    <row r="1284" spans="1:11" x14ac:dyDescent="0.25">
      <c r="A1284" s="575"/>
      <c r="B1284" s="576"/>
      <c r="C1284" s="564"/>
      <c r="D1284" s="581"/>
      <c r="E1284" s="581"/>
      <c r="F1284" s="564"/>
      <c r="G1284" s="581"/>
      <c r="H1284" s="581"/>
      <c r="I1284" s="581"/>
      <c r="J1284" s="567"/>
      <c r="K1284" s="568"/>
    </row>
    <row r="1285" spans="1:11" x14ac:dyDescent="0.25">
      <c r="A1285" s="575"/>
      <c r="B1285" s="583" t="s">
        <v>242</v>
      </c>
      <c r="C1285" s="588">
        <f>SUM(C1283:C1284)</f>
        <v>0.01</v>
      </c>
      <c r="D1285" s="587">
        <f t="shared" ref="D1285:H1285" si="194">SUM(D1283:D1284)</f>
        <v>0</v>
      </c>
      <c r="E1285" s="587">
        <f>SUM(E1283:E1284)</f>
        <v>0.01</v>
      </c>
      <c r="F1285" s="588">
        <f t="shared" si="194"/>
        <v>0</v>
      </c>
      <c r="G1285" s="587">
        <f>SUM(G1283:G1284)</f>
        <v>0</v>
      </c>
      <c r="H1285" s="587">
        <f t="shared" si="194"/>
        <v>0</v>
      </c>
      <c r="I1285" s="639">
        <f>F1285/C1285</f>
        <v>0</v>
      </c>
      <c r="J1285" s="735"/>
      <c r="K1285" s="762"/>
    </row>
    <row r="1286" spans="1:11" x14ac:dyDescent="0.25">
      <c r="A1286" s="575"/>
      <c r="B1286" s="583"/>
      <c r="C1286" s="585"/>
      <c r="D1286" s="584"/>
      <c r="E1286" s="584"/>
      <c r="F1286" s="564"/>
      <c r="G1286" s="581"/>
      <c r="H1286" s="581"/>
      <c r="I1286" s="581"/>
      <c r="J1286" s="735"/>
      <c r="K1286" s="762"/>
    </row>
    <row r="1287" spans="1:11" x14ac:dyDescent="0.25">
      <c r="A1287" s="575"/>
      <c r="B1287" s="561" t="s">
        <v>613</v>
      </c>
      <c r="C1287" s="674">
        <f>C1279+C1285</f>
        <v>0.03</v>
      </c>
      <c r="D1287" s="563">
        <f t="shared" ref="D1287:H1287" si="195">D1279+D1285</f>
        <v>0</v>
      </c>
      <c r="E1287" s="563">
        <f>E1279+E1285</f>
        <v>0.03</v>
      </c>
      <c r="F1287" s="674">
        <f t="shared" si="195"/>
        <v>0</v>
      </c>
      <c r="G1287" s="563">
        <f>G1279+G1285</f>
        <v>0</v>
      </c>
      <c r="H1287" s="563">
        <f t="shared" si="195"/>
        <v>0</v>
      </c>
      <c r="I1287" s="639">
        <f>F1287/C1287</f>
        <v>0</v>
      </c>
      <c r="J1287" s="567"/>
      <c r="K1287" s="568"/>
    </row>
    <row r="1288" spans="1:11" x14ac:dyDescent="0.25">
      <c r="A1288" s="590"/>
      <c r="B1288" s="561"/>
      <c r="C1288" s="564"/>
      <c r="D1288" s="581"/>
      <c r="E1288" s="581"/>
      <c r="F1288" s="564"/>
      <c r="G1288" s="581"/>
      <c r="H1288" s="581"/>
      <c r="I1288" s="581"/>
      <c r="J1288" s="567"/>
      <c r="K1288" s="568"/>
    </row>
    <row r="1289" spans="1:11" x14ac:dyDescent="0.25">
      <c r="A1289" s="590"/>
      <c r="B1289" s="561" t="s">
        <v>449</v>
      </c>
      <c r="C1289" s="563">
        <f>C1273</f>
        <v>3000</v>
      </c>
      <c r="D1289" s="563">
        <f t="shared" ref="D1289:H1289" si="196">D1273</f>
        <v>3000</v>
      </c>
      <c r="E1289" s="563">
        <f>E1273</f>
        <v>3000.0500000000006</v>
      </c>
      <c r="F1289" s="674">
        <f t="shared" si="196"/>
        <v>0</v>
      </c>
      <c r="G1289" s="563">
        <f>G1273</f>
        <v>3000</v>
      </c>
      <c r="H1289" s="563">
        <f t="shared" si="196"/>
        <v>0</v>
      </c>
      <c r="I1289" s="639">
        <f t="shared" ref="I1289:I1294" si="197">F1289/C1289</f>
        <v>0</v>
      </c>
      <c r="J1289" s="567"/>
      <c r="K1289" s="568"/>
    </row>
    <row r="1290" spans="1:11" x14ac:dyDescent="0.25">
      <c r="A1290" s="590"/>
      <c r="B1290" s="561" t="s">
        <v>116</v>
      </c>
      <c r="C1290" s="563">
        <f>C1287</f>
        <v>0.03</v>
      </c>
      <c r="D1290" s="563">
        <f t="shared" ref="D1290:H1290" si="198">D1287</f>
        <v>0</v>
      </c>
      <c r="E1290" s="563">
        <f>E1287</f>
        <v>0.03</v>
      </c>
      <c r="F1290" s="674">
        <f t="shared" si="198"/>
        <v>0</v>
      </c>
      <c r="G1290" s="563">
        <f>G1287</f>
        <v>0</v>
      </c>
      <c r="H1290" s="563">
        <f t="shared" si="198"/>
        <v>0</v>
      </c>
      <c r="I1290" s="639">
        <f t="shared" si="197"/>
        <v>0</v>
      </c>
      <c r="J1290" s="567"/>
      <c r="K1290" s="568"/>
    </row>
    <row r="1291" spans="1:11" x14ac:dyDescent="0.25">
      <c r="A1291" s="575"/>
      <c r="B1291" s="561" t="s">
        <v>450</v>
      </c>
      <c r="C1291" s="566">
        <f>C1289-C1290</f>
        <v>2999.97</v>
      </c>
      <c r="D1291" s="566">
        <f t="shared" ref="D1291:H1291" si="199">D1289-D1290</f>
        <v>3000</v>
      </c>
      <c r="E1291" s="566">
        <f>E1289-E1290</f>
        <v>3000.0200000000004</v>
      </c>
      <c r="F1291" s="565">
        <f t="shared" si="199"/>
        <v>0</v>
      </c>
      <c r="G1291" s="566">
        <f>G1289-G1290</f>
        <v>3000</v>
      </c>
      <c r="H1291" s="566">
        <f t="shared" si="199"/>
        <v>0</v>
      </c>
      <c r="I1291" s="639">
        <f t="shared" si="197"/>
        <v>0</v>
      </c>
      <c r="J1291" s="567"/>
      <c r="K1291" s="568"/>
    </row>
    <row r="1292" spans="1:11" x14ac:dyDescent="0.25">
      <c r="A1292" s="560"/>
      <c r="B1292" s="561" t="s">
        <v>451</v>
      </c>
      <c r="C1292" s="563">
        <f>C1262+C1291</f>
        <v>68297.959999999992</v>
      </c>
      <c r="D1292" s="563">
        <f t="shared" ref="D1292:H1292" si="200">D1262+D1291</f>
        <v>3000</v>
      </c>
      <c r="E1292" s="563">
        <f>E1262+E1291</f>
        <v>74298.02</v>
      </c>
      <c r="F1292" s="674">
        <f t="shared" si="200"/>
        <v>0</v>
      </c>
      <c r="G1292" s="563">
        <f>G1262+G1291</f>
        <v>74298</v>
      </c>
      <c r="H1292" s="563">
        <f t="shared" si="200"/>
        <v>0</v>
      </c>
      <c r="I1292" s="639">
        <f t="shared" si="197"/>
        <v>0</v>
      </c>
      <c r="J1292" s="567"/>
      <c r="K1292" s="568"/>
    </row>
    <row r="1293" spans="1:11" x14ac:dyDescent="0.25">
      <c r="A1293" s="560"/>
      <c r="B1293" s="561" t="s">
        <v>370</v>
      </c>
      <c r="C1293" s="563">
        <v>0.01</v>
      </c>
      <c r="D1293" s="563">
        <v>0.01</v>
      </c>
      <c r="E1293" s="563">
        <v>0.01</v>
      </c>
      <c r="F1293" s="674">
        <v>0.01</v>
      </c>
      <c r="G1293" s="563">
        <v>0.01</v>
      </c>
      <c r="H1293" s="563">
        <v>0.01</v>
      </c>
      <c r="I1293" s="639">
        <f t="shared" si="197"/>
        <v>1</v>
      </c>
      <c r="J1293" s="567"/>
      <c r="K1293" s="568"/>
    </row>
    <row r="1294" spans="1:11" x14ac:dyDescent="0.25">
      <c r="A1294" s="560"/>
      <c r="B1294" s="561" t="s">
        <v>465</v>
      </c>
      <c r="C1294" s="563">
        <f>C1292-C1293</f>
        <v>68297.95</v>
      </c>
      <c r="D1294" s="563">
        <f t="shared" ref="D1294:H1294" si="201">D1292-D1293</f>
        <v>2999.99</v>
      </c>
      <c r="E1294" s="563">
        <f>E1292-E1293</f>
        <v>74298.010000000009</v>
      </c>
      <c r="F1294" s="674">
        <f t="shared" si="201"/>
        <v>-0.01</v>
      </c>
      <c r="G1294" s="563">
        <f>G1292-G1293</f>
        <v>74297.990000000005</v>
      </c>
      <c r="H1294" s="563">
        <f t="shared" si="201"/>
        <v>-0.01</v>
      </c>
      <c r="I1294" s="639">
        <f t="shared" si="197"/>
        <v>-1.4641727899592888E-7</v>
      </c>
      <c r="J1294" s="567"/>
      <c r="K1294" s="689"/>
    </row>
    <row r="1295" spans="1:11" s="569" customFormat="1" x14ac:dyDescent="0.25">
      <c r="A1295" s="560"/>
      <c r="B1295" s="561"/>
      <c r="C1295" s="564"/>
      <c r="D1295" s="748"/>
      <c r="E1295" s="576"/>
      <c r="F1295" s="564"/>
      <c r="G1295" s="581"/>
      <c r="H1295" s="581"/>
      <c r="I1295" s="581"/>
      <c r="J1295" s="567"/>
      <c r="K1295" s="568"/>
    </row>
    <row r="1296" spans="1:11" x14ac:dyDescent="0.25">
      <c r="A1296" s="686">
        <v>250</v>
      </c>
      <c r="B1296" s="628" t="s">
        <v>614</v>
      </c>
      <c r="C1296" s="630">
        <v>2017</v>
      </c>
      <c r="D1296" s="629" t="s">
        <v>1236</v>
      </c>
      <c r="E1296" s="629">
        <v>2018</v>
      </c>
      <c r="F1296" s="630" t="s">
        <v>1236</v>
      </c>
      <c r="G1296" s="631" t="s">
        <v>4</v>
      </c>
      <c r="H1296" s="631">
        <v>2019</v>
      </c>
      <c r="I1296" s="627" t="s">
        <v>5</v>
      </c>
      <c r="J1296" s="567"/>
      <c r="K1296" s="568"/>
    </row>
    <row r="1297" spans="1:11" x14ac:dyDescent="0.25">
      <c r="A1297" s="575"/>
      <c r="B1297" s="576" t="s">
        <v>93</v>
      </c>
      <c r="C1297" s="630" t="s">
        <v>6</v>
      </c>
      <c r="D1297" s="634">
        <v>43069</v>
      </c>
      <c r="E1297" s="629" t="s">
        <v>6</v>
      </c>
      <c r="F1297" s="634">
        <v>43131</v>
      </c>
      <c r="G1297" s="635" t="s">
        <v>1131</v>
      </c>
      <c r="H1297" s="635" t="s">
        <v>6</v>
      </c>
      <c r="I1297" s="627" t="s">
        <v>7</v>
      </c>
      <c r="J1297" s="567"/>
      <c r="K1297" s="568"/>
    </row>
    <row r="1298" spans="1:11" x14ac:dyDescent="0.25">
      <c r="A1298" s="561" t="s">
        <v>1235</v>
      </c>
      <c r="B1298" s="576"/>
      <c r="C1298" s="566">
        <v>14498</v>
      </c>
      <c r="D1298" s="566"/>
      <c r="E1298" s="566">
        <v>2836</v>
      </c>
      <c r="F1298" s="566">
        <v>0</v>
      </c>
      <c r="G1298" s="566">
        <v>2836</v>
      </c>
      <c r="H1298" s="566"/>
      <c r="I1298" s="581"/>
      <c r="J1298" s="567"/>
      <c r="K1298" s="763"/>
    </row>
    <row r="1299" spans="1:11" x14ac:dyDescent="0.25">
      <c r="A1299" s="575"/>
      <c r="B1299" s="576"/>
      <c r="C1299" s="581"/>
      <c r="D1299" s="581"/>
      <c r="E1299" s="581"/>
      <c r="F1299" s="581"/>
      <c r="G1299" s="581"/>
      <c r="H1299" s="581"/>
      <c r="I1299" s="581"/>
      <c r="J1299" s="567"/>
      <c r="K1299" s="568"/>
    </row>
    <row r="1300" spans="1:11" x14ac:dyDescent="0.25">
      <c r="A1300" s="580" t="s">
        <v>615</v>
      </c>
      <c r="B1300" s="561" t="s">
        <v>616</v>
      </c>
      <c r="C1300" s="581"/>
      <c r="D1300" s="581"/>
      <c r="E1300" s="581"/>
      <c r="F1300" s="581"/>
      <c r="G1300" s="581"/>
      <c r="H1300" s="581"/>
      <c r="I1300" s="581"/>
      <c r="J1300" s="567"/>
      <c r="K1300" s="568"/>
    </row>
    <row r="1301" spans="1:11" x14ac:dyDescent="0.25">
      <c r="A1301" s="575"/>
      <c r="B1301" s="576"/>
      <c r="C1301" s="581"/>
      <c r="D1301" s="581"/>
      <c r="E1301" s="581"/>
      <c r="F1301" s="581"/>
      <c r="G1301" s="581"/>
      <c r="H1301" s="581"/>
      <c r="I1301" s="581"/>
      <c r="J1301" s="567"/>
      <c r="K1301" s="568"/>
    </row>
    <row r="1302" spans="1:11" x14ac:dyDescent="0.25">
      <c r="A1302" s="575">
        <v>33460</v>
      </c>
      <c r="B1302" s="576" t="s">
        <v>617</v>
      </c>
      <c r="C1302" s="581">
        <v>4500</v>
      </c>
      <c r="D1302" s="581">
        <v>2836.3</v>
      </c>
      <c r="E1302" s="581">
        <v>4400</v>
      </c>
      <c r="F1302" s="581"/>
      <c r="G1302" s="581">
        <v>4400</v>
      </c>
      <c r="H1302" s="581"/>
      <c r="I1302" s="639">
        <f>F1302/C1302</f>
        <v>0</v>
      </c>
      <c r="J1302" s="567"/>
      <c r="K1302" s="568"/>
    </row>
    <row r="1303" spans="1:11" x14ac:dyDescent="0.25">
      <c r="A1303" s="575">
        <v>38102</v>
      </c>
      <c r="B1303" s="576" t="s">
        <v>1121</v>
      </c>
      <c r="C1303" s="581">
        <v>3000</v>
      </c>
      <c r="D1303" s="581">
        <v>0</v>
      </c>
      <c r="E1303" s="581">
        <v>0</v>
      </c>
      <c r="F1303" s="581"/>
      <c r="G1303" s="581">
        <v>0</v>
      </c>
      <c r="H1303" s="581"/>
      <c r="I1303" s="639">
        <f>F1303/C1303</f>
        <v>0</v>
      </c>
      <c r="J1303" s="567"/>
      <c r="K1303" s="568"/>
    </row>
    <row r="1304" spans="1:11" x14ac:dyDescent="0.25">
      <c r="A1304" s="575"/>
      <c r="B1304" s="576" t="s">
        <v>370</v>
      </c>
      <c r="C1304" s="581"/>
      <c r="D1304" s="581">
        <v>0</v>
      </c>
      <c r="E1304" s="581">
        <v>0.01</v>
      </c>
      <c r="F1304" s="581"/>
      <c r="G1304" s="581">
        <v>0</v>
      </c>
      <c r="H1304" s="581"/>
      <c r="I1304" s="639" t="e">
        <f>F1304/C1304</f>
        <v>#DIV/0!</v>
      </c>
      <c r="J1304" s="567"/>
      <c r="K1304" s="568"/>
    </row>
    <row r="1305" spans="1:11" x14ac:dyDescent="0.25">
      <c r="A1305" s="575"/>
      <c r="B1305" s="561" t="s">
        <v>373</v>
      </c>
      <c r="C1305" s="566">
        <f>SUM(C1302:C1304)</f>
        <v>7500</v>
      </c>
      <c r="D1305" s="566">
        <f t="shared" ref="D1305:H1305" si="202">SUM(D1302:D1304)</f>
        <v>2836.3</v>
      </c>
      <c r="E1305" s="566">
        <f>SUM(E1302:E1304)</f>
        <v>4400.01</v>
      </c>
      <c r="F1305" s="566">
        <f t="shared" si="202"/>
        <v>0</v>
      </c>
      <c r="G1305" s="566">
        <f>SUM(G1302:G1304)</f>
        <v>4400</v>
      </c>
      <c r="H1305" s="566">
        <f t="shared" si="202"/>
        <v>0</v>
      </c>
      <c r="I1305" s="639">
        <f>F1305/C1305</f>
        <v>0</v>
      </c>
      <c r="J1305" s="567"/>
      <c r="K1305" s="568"/>
    </row>
    <row r="1306" spans="1:11" s="569" customFormat="1" x14ac:dyDescent="0.25">
      <c r="A1306" s="575"/>
      <c r="B1306" s="576"/>
      <c r="C1306" s="564"/>
      <c r="D1306" s="601"/>
      <c r="E1306" s="576"/>
      <c r="F1306" s="564"/>
      <c r="G1306" s="581"/>
      <c r="H1306" s="581"/>
      <c r="I1306" s="581"/>
      <c r="J1306" s="567"/>
      <c r="K1306" s="568"/>
    </row>
    <row r="1307" spans="1:11" x14ac:dyDescent="0.25">
      <c r="A1307" s="764" t="s">
        <v>618</v>
      </c>
      <c r="B1307" s="688" t="s">
        <v>619</v>
      </c>
      <c r="C1307" s="630">
        <v>2017</v>
      </c>
      <c r="D1307" s="629" t="s">
        <v>1236</v>
      </c>
      <c r="E1307" s="629">
        <v>2018</v>
      </c>
      <c r="F1307" s="630" t="s">
        <v>1236</v>
      </c>
      <c r="G1307" s="631" t="s">
        <v>4</v>
      </c>
      <c r="H1307" s="631">
        <v>2019</v>
      </c>
      <c r="I1307" s="627" t="s">
        <v>5</v>
      </c>
      <c r="J1307" s="567"/>
      <c r="K1307" s="568"/>
    </row>
    <row r="1308" spans="1:11" x14ac:dyDescent="0.25">
      <c r="A1308" s="575"/>
      <c r="B1308" s="576"/>
      <c r="C1308" s="630" t="s">
        <v>6</v>
      </c>
      <c r="D1308" s="634">
        <v>43069</v>
      </c>
      <c r="E1308" s="629" t="s">
        <v>6</v>
      </c>
      <c r="F1308" s="634">
        <v>43131</v>
      </c>
      <c r="G1308" s="635" t="s">
        <v>1131</v>
      </c>
      <c r="H1308" s="635" t="s">
        <v>6</v>
      </c>
      <c r="I1308" s="627" t="s">
        <v>92</v>
      </c>
      <c r="J1308" s="567"/>
      <c r="K1308" s="568"/>
    </row>
    <row r="1309" spans="1:11" x14ac:dyDescent="0.25">
      <c r="A1309" s="575">
        <v>64720</v>
      </c>
      <c r="B1309" s="576" t="s">
        <v>620</v>
      </c>
      <c r="C1309" s="582">
        <v>4000</v>
      </c>
      <c r="D1309" s="582">
        <v>0</v>
      </c>
      <c r="E1309" s="582">
        <v>0</v>
      </c>
      <c r="F1309" s="582"/>
      <c r="G1309" s="582">
        <v>0</v>
      </c>
      <c r="H1309" s="582"/>
      <c r="I1309" s="639">
        <f>F1309/C1309</f>
        <v>0</v>
      </c>
      <c r="J1309" s="567"/>
      <c r="K1309" s="568"/>
    </row>
    <row r="1310" spans="1:11" x14ac:dyDescent="0.25">
      <c r="A1310" s="575"/>
      <c r="B1310" s="576" t="s">
        <v>621</v>
      </c>
      <c r="C1310" s="582">
        <v>3000</v>
      </c>
      <c r="D1310" s="582">
        <v>0</v>
      </c>
      <c r="E1310" s="582">
        <v>4400</v>
      </c>
      <c r="F1310" s="582"/>
      <c r="G1310" s="582">
        <v>4400</v>
      </c>
      <c r="H1310" s="582"/>
      <c r="I1310" s="639">
        <f>F1310/C1310</f>
        <v>0</v>
      </c>
      <c r="J1310" s="567"/>
      <c r="K1310" s="568"/>
    </row>
    <row r="1311" spans="1:11" x14ac:dyDescent="0.25">
      <c r="A1311" s="575"/>
      <c r="B1311" s="576" t="s">
        <v>622</v>
      </c>
      <c r="C1311" s="582"/>
      <c r="D1311" s="582">
        <v>0</v>
      </c>
      <c r="E1311" s="582">
        <v>0.01</v>
      </c>
      <c r="F1311" s="582"/>
      <c r="G1311" s="582">
        <v>0</v>
      </c>
      <c r="H1311" s="582"/>
      <c r="I1311" s="639" t="e">
        <f>F1311/C1311</f>
        <v>#DIV/0!</v>
      </c>
      <c r="J1311" s="567"/>
      <c r="K1311" s="568"/>
    </row>
    <row r="1312" spans="1:11" x14ac:dyDescent="0.25">
      <c r="A1312" s="575"/>
      <c r="B1312" s="576" t="s">
        <v>599</v>
      </c>
      <c r="C1312" s="582"/>
      <c r="D1312" s="582">
        <v>0</v>
      </c>
      <c r="E1312" s="582">
        <v>0.01</v>
      </c>
      <c r="F1312" s="582"/>
      <c r="G1312" s="582">
        <v>0</v>
      </c>
      <c r="H1312" s="582"/>
      <c r="I1312" s="639" t="e">
        <f>F1312/C1312</f>
        <v>#DIV/0!</v>
      </c>
      <c r="J1312" s="567"/>
      <c r="K1312" s="568"/>
    </row>
    <row r="1313" spans="1:11" x14ac:dyDescent="0.25">
      <c r="A1313" s="575"/>
      <c r="B1313" s="561" t="s">
        <v>116</v>
      </c>
      <c r="C1313" s="579">
        <f>SUM(C1309:C1312)</f>
        <v>7000</v>
      </c>
      <c r="D1313" s="579">
        <f t="shared" ref="D1313:H1313" si="203">SUM(D1309:D1312)</f>
        <v>0</v>
      </c>
      <c r="E1313" s="579">
        <f>SUM(E1309:E1312)</f>
        <v>4400.0200000000004</v>
      </c>
      <c r="F1313" s="579">
        <f t="shared" si="203"/>
        <v>0</v>
      </c>
      <c r="G1313" s="579">
        <f>SUM(G1309:G1312)</f>
        <v>4400</v>
      </c>
      <c r="H1313" s="579">
        <f t="shared" si="203"/>
        <v>0</v>
      </c>
      <c r="I1313" s="639">
        <f>F1313/C1313</f>
        <v>0</v>
      </c>
      <c r="J1313" s="567"/>
      <c r="K1313" s="568"/>
    </row>
    <row r="1314" spans="1:11" x14ac:dyDescent="0.25">
      <c r="A1314" s="590"/>
      <c r="B1314" s="576"/>
      <c r="C1314" s="582"/>
      <c r="D1314" s="582"/>
      <c r="E1314" s="582"/>
      <c r="F1314" s="582"/>
      <c r="G1314" s="582"/>
      <c r="H1314" s="582"/>
      <c r="I1314" s="581"/>
      <c r="J1314" s="567"/>
      <c r="K1314" s="568"/>
    </row>
    <row r="1315" spans="1:11" x14ac:dyDescent="0.25">
      <c r="A1315" s="590"/>
      <c r="B1315" s="561" t="s">
        <v>449</v>
      </c>
      <c r="C1315" s="579">
        <f>C1305</f>
        <v>7500</v>
      </c>
      <c r="D1315" s="579">
        <f t="shared" ref="D1315:H1315" si="204">D1305</f>
        <v>2836.3</v>
      </c>
      <c r="E1315" s="579">
        <f>E1305</f>
        <v>4400.01</v>
      </c>
      <c r="F1315" s="579">
        <f t="shared" si="204"/>
        <v>0</v>
      </c>
      <c r="G1315" s="579">
        <f>G1305</f>
        <v>4400</v>
      </c>
      <c r="H1315" s="579">
        <f t="shared" si="204"/>
        <v>0</v>
      </c>
      <c r="I1315" s="639">
        <f t="shared" ref="I1315:I1320" si="205">F1315/C1315</f>
        <v>0</v>
      </c>
      <c r="J1315" s="567"/>
      <c r="K1315" s="568"/>
    </row>
    <row r="1316" spans="1:11" x14ac:dyDescent="0.25">
      <c r="A1316" s="560"/>
      <c r="B1316" s="561" t="s">
        <v>116</v>
      </c>
      <c r="C1316" s="579">
        <f>C1313</f>
        <v>7000</v>
      </c>
      <c r="D1316" s="579">
        <f t="shared" ref="D1316:H1316" si="206">D1313</f>
        <v>0</v>
      </c>
      <c r="E1316" s="579">
        <f>E1313</f>
        <v>4400.0200000000004</v>
      </c>
      <c r="F1316" s="579">
        <f t="shared" si="206"/>
        <v>0</v>
      </c>
      <c r="G1316" s="579">
        <f>G1313</f>
        <v>4400</v>
      </c>
      <c r="H1316" s="579">
        <f t="shared" si="206"/>
        <v>0</v>
      </c>
      <c r="I1316" s="639">
        <f t="shared" si="205"/>
        <v>0</v>
      </c>
      <c r="J1316" s="567"/>
      <c r="K1316" s="568"/>
    </row>
    <row r="1317" spans="1:11" x14ac:dyDescent="0.25">
      <c r="A1317" s="590"/>
      <c r="B1317" s="561" t="s">
        <v>450</v>
      </c>
      <c r="C1317" s="616">
        <f>C1315-C1316</f>
        <v>500</v>
      </c>
      <c r="D1317" s="616">
        <f t="shared" ref="D1317:H1317" si="207">D1315-D1316</f>
        <v>2836.3</v>
      </c>
      <c r="E1317" s="616">
        <f>E1315-E1316</f>
        <v>-1.0000000000218279E-2</v>
      </c>
      <c r="F1317" s="616">
        <f t="shared" si="207"/>
        <v>0</v>
      </c>
      <c r="G1317" s="616">
        <f>G1315-G1316</f>
        <v>0</v>
      </c>
      <c r="H1317" s="616">
        <f t="shared" si="207"/>
        <v>0</v>
      </c>
      <c r="I1317" s="639">
        <f t="shared" si="205"/>
        <v>0</v>
      </c>
      <c r="J1317" s="567"/>
      <c r="K1317" s="568"/>
    </row>
    <row r="1318" spans="1:11" x14ac:dyDescent="0.25">
      <c r="A1318" s="590"/>
      <c r="B1318" s="561" t="s">
        <v>451</v>
      </c>
      <c r="C1318" s="616">
        <f>C1298+C1317</f>
        <v>14998</v>
      </c>
      <c r="D1318" s="616">
        <f t="shared" ref="D1318:H1318" si="208">D1298+D1317</f>
        <v>2836.3</v>
      </c>
      <c r="E1318" s="616">
        <f>E1298+E1317</f>
        <v>2835.99</v>
      </c>
      <c r="F1318" s="616">
        <f t="shared" si="208"/>
        <v>0</v>
      </c>
      <c r="G1318" s="616">
        <f>G1298+G1317</f>
        <v>2836</v>
      </c>
      <c r="H1318" s="616">
        <f t="shared" si="208"/>
        <v>0</v>
      </c>
      <c r="I1318" s="639">
        <f t="shared" si="205"/>
        <v>0</v>
      </c>
      <c r="J1318" s="567"/>
      <c r="K1318" s="568"/>
    </row>
    <row r="1319" spans="1:11" x14ac:dyDescent="0.25">
      <c r="A1319" s="590"/>
      <c r="B1319" s="561" t="s">
        <v>599</v>
      </c>
      <c r="C1319" s="582">
        <v>0.01</v>
      </c>
      <c r="D1319" s="582">
        <v>0.01</v>
      </c>
      <c r="E1319" s="582">
        <v>0.01</v>
      </c>
      <c r="F1319" s="582">
        <v>0.01</v>
      </c>
      <c r="G1319" s="582"/>
      <c r="H1319" s="582">
        <v>0.01</v>
      </c>
      <c r="I1319" s="639">
        <f t="shared" si="205"/>
        <v>1</v>
      </c>
      <c r="J1319" s="567"/>
      <c r="K1319" s="568"/>
    </row>
    <row r="1320" spans="1:11" x14ac:dyDescent="0.25">
      <c r="A1320" s="560"/>
      <c r="B1320" s="561" t="s">
        <v>465</v>
      </c>
      <c r="C1320" s="616">
        <f>C1318-C1319</f>
        <v>14997.99</v>
      </c>
      <c r="D1320" s="616">
        <f t="shared" ref="D1320:H1320" si="209">D1318-D1319</f>
        <v>2836.29</v>
      </c>
      <c r="E1320" s="616">
        <f>E1318-E1319</f>
        <v>2835.9799999999996</v>
      </c>
      <c r="F1320" s="616">
        <f t="shared" si="209"/>
        <v>-0.01</v>
      </c>
      <c r="G1320" s="616">
        <f>G1318-G1319</f>
        <v>2836</v>
      </c>
      <c r="H1320" s="616">
        <f t="shared" si="209"/>
        <v>-0.01</v>
      </c>
      <c r="I1320" s="639">
        <f t="shared" si="205"/>
        <v>-6.6675601197227101E-7</v>
      </c>
      <c r="J1320" s="567"/>
      <c r="K1320" s="568"/>
    </row>
    <row r="1321" spans="1:11" s="569" customFormat="1" x14ac:dyDescent="0.25">
      <c r="A1321" s="575"/>
      <c r="B1321" s="576"/>
      <c r="C1321" s="564"/>
      <c r="D1321" s="576"/>
      <c r="E1321" s="576"/>
      <c r="F1321" s="564"/>
      <c r="G1321" s="581"/>
      <c r="H1321" s="581"/>
      <c r="I1321" s="581"/>
      <c r="J1321" s="567"/>
      <c r="K1321" s="568"/>
    </row>
    <row r="1322" spans="1:11" x14ac:dyDescent="0.25">
      <c r="A1322" s="686">
        <v>270</v>
      </c>
      <c r="B1322" s="628" t="s">
        <v>623</v>
      </c>
      <c r="C1322" s="630">
        <v>2017</v>
      </c>
      <c r="D1322" s="629" t="s">
        <v>1236</v>
      </c>
      <c r="E1322" s="629">
        <v>2018</v>
      </c>
      <c r="F1322" s="630" t="s">
        <v>1236</v>
      </c>
      <c r="G1322" s="631" t="s">
        <v>4</v>
      </c>
      <c r="H1322" s="631">
        <v>2019</v>
      </c>
      <c r="I1322" s="627" t="s">
        <v>5</v>
      </c>
      <c r="J1322" s="567"/>
      <c r="K1322" s="568"/>
    </row>
    <row r="1323" spans="1:11" x14ac:dyDescent="0.25">
      <c r="A1323" s="590"/>
      <c r="B1323" s="576" t="s">
        <v>93</v>
      </c>
      <c r="C1323" s="630" t="s">
        <v>6</v>
      </c>
      <c r="D1323" s="634">
        <v>43069</v>
      </c>
      <c r="E1323" s="629" t="s">
        <v>6</v>
      </c>
      <c r="F1323" s="634">
        <v>43131</v>
      </c>
      <c r="G1323" s="635" t="s">
        <v>1131</v>
      </c>
      <c r="H1323" s="635" t="s">
        <v>6</v>
      </c>
      <c r="I1323" s="627" t="s">
        <v>7</v>
      </c>
      <c r="J1323" s="567"/>
      <c r="K1323" s="568"/>
    </row>
    <row r="1324" spans="1:11" x14ac:dyDescent="0.25">
      <c r="A1324" s="561" t="s">
        <v>1235</v>
      </c>
      <c r="B1324" s="576"/>
      <c r="C1324" s="579">
        <v>29295</v>
      </c>
      <c r="D1324" s="579"/>
      <c r="E1324" s="579">
        <v>18191</v>
      </c>
      <c r="F1324" s="579"/>
      <c r="G1324" s="579">
        <f>E1324+E1359-E1360</f>
        <v>19171.53</v>
      </c>
      <c r="H1324" s="579"/>
      <c r="I1324" s="581"/>
      <c r="J1324" s="567"/>
      <c r="K1324" s="568"/>
    </row>
    <row r="1325" spans="1:11" x14ac:dyDescent="0.25">
      <c r="A1325" s="560"/>
      <c r="B1325" s="576"/>
      <c r="C1325" s="582"/>
      <c r="D1325" s="582"/>
      <c r="E1325" s="961"/>
      <c r="F1325" s="582"/>
      <c r="G1325" s="582"/>
      <c r="H1325" s="582"/>
      <c r="I1325" s="581"/>
      <c r="J1325" s="567"/>
      <c r="K1325" s="568"/>
    </row>
    <row r="1326" spans="1:11" x14ac:dyDescent="0.25">
      <c r="A1326" s="580" t="s">
        <v>624</v>
      </c>
      <c r="B1326" s="561" t="s">
        <v>625</v>
      </c>
      <c r="C1326" s="582"/>
      <c r="D1326" s="582"/>
      <c r="E1326" s="961"/>
      <c r="F1326" s="582"/>
      <c r="G1326" s="582"/>
      <c r="H1326" s="582"/>
      <c r="I1326" s="581"/>
      <c r="J1326" s="567"/>
      <c r="K1326" s="568"/>
    </row>
    <row r="1327" spans="1:11" x14ac:dyDescent="0.25">
      <c r="A1327" s="575"/>
      <c r="B1327" s="576"/>
      <c r="C1327" s="582"/>
      <c r="D1327" s="582"/>
      <c r="E1327" s="961"/>
      <c r="F1327" s="582"/>
      <c r="G1327" s="582"/>
      <c r="H1327" s="582"/>
      <c r="I1327" s="581"/>
      <c r="J1327" s="567"/>
      <c r="K1327" s="568"/>
    </row>
    <row r="1328" spans="1:11" x14ac:dyDescent="0.25">
      <c r="A1328" s="575">
        <v>32150</v>
      </c>
      <c r="B1328" s="576" t="s">
        <v>626</v>
      </c>
      <c r="C1328" s="582"/>
      <c r="D1328" s="582">
        <v>0</v>
      </c>
      <c r="E1328" s="961">
        <v>0.01</v>
      </c>
      <c r="F1328" s="582"/>
      <c r="G1328" s="582">
        <v>0</v>
      </c>
      <c r="H1328" s="582"/>
      <c r="I1328" s="639" t="e">
        <f t="shared" ref="I1328:I1337" si="210">F1328/C1328</f>
        <v>#DIV/0!</v>
      </c>
      <c r="J1328" s="567"/>
      <c r="K1328" s="568"/>
    </row>
    <row r="1329" spans="1:11" x14ac:dyDescent="0.25">
      <c r="A1329" s="575">
        <v>32330</v>
      </c>
      <c r="B1329" s="576" t="s">
        <v>627</v>
      </c>
      <c r="C1329" s="582"/>
      <c r="D1329" s="582">
        <v>0</v>
      </c>
      <c r="E1329" s="961">
        <v>0.01</v>
      </c>
      <c r="F1329" s="582"/>
      <c r="G1329" s="582">
        <v>0</v>
      </c>
      <c r="H1329" s="582"/>
      <c r="I1329" s="639" t="e">
        <f t="shared" si="210"/>
        <v>#DIV/0!</v>
      </c>
      <c r="J1329" s="567"/>
      <c r="K1329" s="568"/>
    </row>
    <row r="1330" spans="1:11" x14ac:dyDescent="0.25">
      <c r="A1330" s="575">
        <v>32331</v>
      </c>
      <c r="B1330" s="576" t="s">
        <v>628</v>
      </c>
      <c r="C1330" s="582"/>
      <c r="D1330" s="582">
        <v>9800</v>
      </c>
      <c r="E1330" s="961"/>
      <c r="F1330" s="582"/>
      <c r="G1330" s="582">
        <v>0</v>
      </c>
      <c r="H1330" s="582"/>
      <c r="I1330" s="639" t="e">
        <f t="shared" si="210"/>
        <v>#DIV/0!</v>
      </c>
      <c r="J1330" s="567"/>
      <c r="K1330" s="568"/>
    </row>
    <row r="1331" spans="1:11" x14ac:dyDescent="0.25">
      <c r="A1331" s="575">
        <v>32340</v>
      </c>
      <c r="B1331" s="576" t="s">
        <v>629</v>
      </c>
      <c r="C1331" s="582"/>
      <c r="D1331" s="582">
        <v>-11.76</v>
      </c>
      <c r="E1331" s="961">
        <v>0.01</v>
      </c>
      <c r="F1331" s="582"/>
      <c r="G1331" s="582">
        <v>0</v>
      </c>
      <c r="H1331" s="582"/>
      <c r="I1331" s="639" t="e">
        <f t="shared" si="210"/>
        <v>#DIV/0!</v>
      </c>
      <c r="J1331" s="567"/>
      <c r="K1331" s="568"/>
    </row>
    <row r="1332" spans="1:11" x14ac:dyDescent="0.25">
      <c r="A1332" s="575">
        <v>32370</v>
      </c>
      <c r="B1332" s="576" t="s">
        <v>630</v>
      </c>
      <c r="C1332" s="582"/>
      <c r="D1332" s="582"/>
      <c r="E1332" s="961">
        <v>0</v>
      </c>
      <c r="F1332" s="582"/>
      <c r="G1332" s="582">
        <v>0</v>
      </c>
      <c r="H1332" s="582"/>
      <c r="I1332" s="639" t="e">
        <f t="shared" si="210"/>
        <v>#DIV/0!</v>
      </c>
      <c r="J1332" s="567"/>
      <c r="K1332" s="568"/>
    </row>
    <row r="1333" spans="1:11" x14ac:dyDescent="0.25">
      <c r="A1333" s="575">
        <v>32380</v>
      </c>
      <c r="B1333" s="576" t="s">
        <v>631</v>
      </c>
      <c r="C1333" s="582">
        <v>24800</v>
      </c>
      <c r="D1333" s="582">
        <v>10600</v>
      </c>
      <c r="E1333" s="961">
        <v>24000</v>
      </c>
      <c r="F1333" s="582"/>
      <c r="G1333" s="582">
        <v>24000</v>
      </c>
      <c r="H1333" s="582"/>
      <c r="I1333" s="639">
        <f t="shared" si="210"/>
        <v>0</v>
      </c>
      <c r="J1333" s="649"/>
      <c r="K1333" s="638"/>
    </row>
    <row r="1334" spans="1:11" x14ac:dyDescent="0.25">
      <c r="A1334" s="575">
        <v>32382</v>
      </c>
      <c r="B1334" s="576" t="s">
        <v>632</v>
      </c>
      <c r="C1334" s="582"/>
      <c r="D1334" s="582">
        <v>0</v>
      </c>
      <c r="E1334" s="961">
        <v>0</v>
      </c>
      <c r="F1334" s="582"/>
      <c r="G1334" s="582">
        <v>0</v>
      </c>
      <c r="H1334" s="582"/>
      <c r="I1334" s="639" t="e">
        <f t="shared" si="210"/>
        <v>#DIV/0!</v>
      </c>
      <c r="J1334" s="561"/>
      <c r="K1334" s="568"/>
    </row>
    <row r="1335" spans="1:11" x14ac:dyDescent="0.25">
      <c r="A1335" s="575">
        <v>38102</v>
      </c>
      <c r="B1335" s="576" t="s">
        <v>531</v>
      </c>
      <c r="C1335" s="582">
        <v>22000</v>
      </c>
      <c r="D1335" s="582">
        <v>0</v>
      </c>
      <c r="E1335" s="961">
        <v>0</v>
      </c>
      <c r="F1335" s="582"/>
      <c r="G1335" s="582">
        <v>0</v>
      </c>
      <c r="H1335" s="582"/>
      <c r="I1335" s="639">
        <f t="shared" si="210"/>
        <v>0</v>
      </c>
      <c r="J1335" s="567"/>
      <c r="K1335" s="568"/>
    </row>
    <row r="1336" spans="1:11" x14ac:dyDescent="0.25">
      <c r="A1336" s="575">
        <v>38103</v>
      </c>
      <c r="B1336" s="576" t="s">
        <v>370</v>
      </c>
      <c r="C1336" s="582"/>
      <c r="D1336" s="741">
        <v>0</v>
      </c>
      <c r="E1336" s="963"/>
      <c r="F1336" s="582"/>
      <c r="G1336" s="582">
        <v>0</v>
      </c>
      <c r="H1336" s="582"/>
      <c r="I1336" s="639" t="e">
        <f t="shared" si="210"/>
        <v>#DIV/0!</v>
      </c>
      <c r="J1336" s="567"/>
      <c r="K1336" s="568"/>
    </row>
    <row r="1337" spans="1:11" x14ac:dyDescent="0.25">
      <c r="A1337" s="560"/>
      <c r="B1337" s="561" t="s">
        <v>373</v>
      </c>
      <c r="C1337" s="579">
        <f>SUM(C1328:C1336)</f>
        <v>46800</v>
      </c>
      <c r="D1337" s="579">
        <f t="shared" ref="D1337:F1337" si="211">SUM(D1328:D1336)</f>
        <v>20388.239999999998</v>
      </c>
      <c r="E1337" s="964">
        <f>SUM(E1328:E1336)</f>
        <v>24000.03</v>
      </c>
      <c r="F1337" s="579">
        <f t="shared" si="211"/>
        <v>0</v>
      </c>
      <c r="G1337" s="579">
        <f>SUM(G1328:G1336)</f>
        <v>24000</v>
      </c>
      <c r="H1337" s="579">
        <f>SUM(H1326:H1336)</f>
        <v>0</v>
      </c>
      <c r="I1337" s="639">
        <f t="shared" si="210"/>
        <v>0</v>
      </c>
      <c r="J1337" s="567"/>
      <c r="K1337" s="568"/>
    </row>
    <row r="1338" spans="1:11" s="569" customFormat="1" x14ac:dyDescent="0.25">
      <c r="A1338" s="575"/>
      <c r="B1338" s="576"/>
      <c r="C1338" s="564"/>
      <c r="D1338" s="581"/>
      <c r="E1338" s="576"/>
      <c r="F1338" s="564"/>
      <c r="G1338" s="581"/>
      <c r="H1338" s="581"/>
      <c r="I1338" s="581"/>
      <c r="J1338" s="567"/>
      <c r="K1338" s="568"/>
    </row>
    <row r="1339" spans="1:11" x14ac:dyDescent="0.25">
      <c r="A1339" s="764" t="s">
        <v>633</v>
      </c>
      <c r="B1339" s="688" t="s">
        <v>634</v>
      </c>
      <c r="C1339" s="677">
        <v>2017</v>
      </c>
      <c r="D1339" s="765" t="s">
        <v>1236</v>
      </c>
      <c r="E1339" s="765">
        <v>2018</v>
      </c>
      <c r="F1339" s="677" t="s">
        <v>1236</v>
      </c>
      <c r="G1339" s="765" t="s">
        <v>4</v>
      </c>
      <c r="H1339" s="765">
        <v>2019</v>
      </c>
      <c r="I1339" s="766" t="s">
        <v>5</v>
      </c>
      <c r="J1339" s="567"/>
      <c r="K1339" s="568"/>
    </row>
    <row r="1340" spans="1:11" x14ac:dyDescent="0.25">
      <c r="A1340" s="575"/>
      <c r="B1340" s="576"/>
      <c r="C1340" s="677" t="s">
        <v>6</v>
      </c>
      <c r="D1340" s="678">
        <v>43069</v>
      </c>
      <c r="E1340" s="765" t="s">
        <v>6</v>
      </c>
      <c r="F1340" s="678">
        <v>43131</v>
      </c>
      <c r="G1340" s="678" t="s">
        <v>934</v>
      </c>
      <c r="H1340" s="678" t="s">
        <v>6</v>
      </c>
      <c r="I1340" s="766" t="s">
        <v>92</v>
      </c>
      <c r="J1340" s="567"/>
      <c r="K1340" s="568"/>
    </row>
    <row r="1341" spans="1:11" x14ac:dyDescent="0.25">
      <c r="A1341" s="575">
        <v>40110</v>
      </c>
      <c r="B1341" s="576" t="s">
        <v>97</v>
      </c>
      <c r="C1341" s="582">
        <v>26000</v>
      </c>
      <c r="D1341" s="582">
        <v>7608.62</v>
      </c>
      <c r="E1341" s="961">
        <v>8500</v>
      </c>
      <c r="F1341" s="582"/>
      <c r="G1341" s="582">
        <v>8500</v>
      </c>
      <c r="H1341" s="582"/>
      <c r="I1341" s="639">
        <f t="shared" ref="I1341:I1355" si="212">F1341/C1341</f>
        <v>0</v>
      </c>
      <c r="J1341" s="567"/>
      <c r="K1341" s="568"/>
    </row>
    <row r="1342" spans="1:11" x14ac:dyDescent="0.25">
      <c r="A1342" s="575">
        <v>40210</v>
      </c>
      <c r="B1342" s="576" t="s">
        <v>206</v>
      </c>
      <c r="C1342" s="582">
        <v>400</v>
      </c>
      <c r="D1342" s="582">
        <v>584.85</v>
      </c>
      <c r="E1342" s="961">
        <v>500</v>
      </c>
      <c r="F1342" s="582"/>
      <c r="G1342" s="582">
        <v>500</v>
      </c>
      <c r="H1342" s="582"/>
      <c r="I1342" s="639">
        <f t="shared" si="212"/>
        <v>0</v>
      </c>
      <c r="J1342" s="567"/>
      <c r="K1342" s="568"/>
    </row>
    <row r="1343" spans="1:11" x14ac:dyDescent="0.25">
      <c r="A1343" s="575">
        <v>41410</v>
      </c>
      <c r="B1343" s="576" t="s">
        <v>478</v>
      </c>
      <c r="C1343" s="582">
        <v>100</v>
      </c>
      <c r="D1343" s="582">
        <v>21.67</v>
      </c>
      <c r="E1343" s="961">
        <f>9000*0.003</f>
        <v>27</v>
      </c>
      <c r="F1343" s="582"/>
      <c r="G1343" s="961">
        <f>9000*0.003</f>
        <v>27</v>
      </c>
      <c r="H1343" s="582"/>
      <c r="I1343" s="639">
        <f t="shared" si="212"/>
        <v>0</v>
      </c>
      <c r="J1343" s="567"/>
      <c r="K1343" s="568"/>
    </row>
    <row r="1344" spans="1:11" x14ac:dyDescent="0.25">
      <c r="A1344" s="575">
        <v>41420</v>
      </c>
      <c r="B1344" s="576" t="s">
        <v>382</v>
      </c>
      <c r="C1344" s="582">
        <v>3000</v>
      </c>
      <c r="D1344" s="582">
        <v>3000</v>
      </c>
      <c r="E1344" s="961">
        <v>697</v>
      </c>
      <c r="F1344" s="582"/>
      <c r="G1344" s="582">
        <v>697</v>
      </c>
      <c r="H1344" s="582"/>
      <c r="I1344" s="639">
        <f t="shared" si="212"/>
        <v>0</v>
      </c>
      <c r="J1344" s="567"/>
      <c r="K1344" s="568"/>
    </row>
    <row r="1345" spans="1:11" x14ac:dyDescent="0.25">
      <c r="A1345" s="575">
        <v>41430</v>
      </c>
      <c r="B1345" s="576" t="s">
        <v>98</v>
      </c>
      <c r="C1345" s="582">
        <v>3466</v>
      </c>
      <c r="D1345" s="582">
        <v>1768.89</v>
      </c>
      <c r="E1345" s="961">
        <v>2000</v>
      </c>
      <c r="F1345" s="582"/>
      <c r="G1345" s="582">
        <v>2000</v>
      </c>
      <c r="H1345" s="582"/>
      <c r="I1345" s="639">
        <f t="shared" si="212"/>
        <v>0</v>
      </c>
      <c r="J1345" s="567"/>
      <c r="K1345" s="568"/>
    </row>
    <row r="1346" spans="1:11" x14ac:dyDescent="0.25">
      <c r="A1346" s="575">
        <v>41440</v>
      </c>
      <c r="B1346" s="576" t="s">
        <v>100</v>
      </c>
      <c r="C1346" s="582">
        <v>1637</v>
      </c>
      <c r="D1346" s="582">
        <v>447.67</v>
      </c>
      <c r="E1346" s="961">
        <f>9000*6.2%</f>
        <v>558</v>
      </c>
      <c r="F1346" s="582"/>
      <c r="G1346" s="961">
        <f>9000*6.2%</f>
        <v>558</v>
      </c>
      <c r="H1346" s="582"/>
      <c r="I1346" s="639">
        <f t="shared" si="212"/>
        <v>0</v>
      </c>
      <c r="J1346" s="567"/>
      <c r="K1346" s="568"/>
    </row>
    <row r="1347" spans="1:11" x14ac:dyDescent="0.25">
      <c r="A1347" s="575">
        <v>41450</v>
      </c>
      <c r="B1347" s="576" t="s">
        <v>101</v>
      </c>
      <c r="C1347" s="582">
        <v>383</v>
      </c>
      <c r="D1347" s="582">
        <v>104.68</v>
      </c>
      <c r="E1347" s="961">
        <f>9000*1.45%</f>
        <v>130.5</v>
      </c>
      <c r="F1347" s="582"/>
      <c r="G1347" s="961">
        <f>9000*1.45%</f>
        <v>130.5</v>
      </c>
      <c r="H1347" s="582"/>
      <c r="I1347" s="639">
        <f t="shared" si="212"/>
        <v>0</v>
      </c>
      <c r="J1347" s="567"/>
      <c r="K1347" s="568"/>
    </row>
    <row r="1348" spans="1:11" x14ac:dyDescent="0.25">
      <c r="A1348" s="575">
        <v>41470</v>
      </c>
      <c r="B1348" s="576" t="s">
        <v>102</v>
      </c>
      <c r="C1348" s="582">
        <v>9</v>
      </c>
      <c r="D1348" s="582">
        <v>4.3600000000000003</v>
      </c>
      <c r="E1348" s="961">
        <v>7</v>
      </c>
      <c r="F1348" s="582"/>
      <c r="G1348" s="582">
        <v>7</v>
      </c>
      <c r="H1348" s="582"/>
      <c r="I1348" s="639">
        <f t="shared" si="212"/>
        <v>0</v>
      </c>
      <c r="J1348" s="567"/>
      <c r="K1348" s="568"/>
    </row>
    <row r="1349" spans="1:11" x14ac:dyDescent="0.25">
      <c r="A1349" s="575">
        <v>50310</v>
      </c>
      <c r="B1349" s="576" t="s">
        <v>284</v>
      </c>
      <c r="C1349" s="582">
        <v>5000</v>
      </c>
      <c r="D1349" s="582">
        <v>0</v>
      </c>
      <c r="E1349" s="961">
        <v>500</v>
      </c>
      <c r="F1349" s="582"/>
      <c r="G1349" s="582">
        <v>500</v>
      </c>
      <c r="H1349" s="582"/>
      <c r="I1349" s="639">
        <f t="shared" si="212"/>
        <v>0</v>
      </c>
      <c r="J1349" s="567"/>
      <c r="K1349" s="568"/>
    </row>
    <row r="1350" spans="1:11" x14ac:dyDescent="0.25">
      <c r="A1350" s="575">
        <v>51330</v>
      </c>
      <c r="B1350" s="576" t="s">
        <v>635</v>
      </c>
      <c r="C1350" s="582">
        <v>3000</v>
      </c>
      <c r="D1350" s="582">
        <v>5570.12</v>
      </c>
      <c r="E1350" s="961">
        <v>3000</v>
      </c>
      <c r="F1350" s="582"/>
      <c r="G1350" s="582">
        <v>3000</v>
      </c>
      <c r="H1350" s="582"/>
      <c r="I1350" s="639">
        <f t="shared" si="212"/>
        <v>0</v>
      </c>
      <c r="J1350" s="567"/>
      <c r="K1350" s="568"/>
    </row>
    <row r="1351" spans="1:11" x14ac:dyDescent="0.25">
      <c r="A1351" s="575">
        <v>53550</v>
      </c>
      <c r="B1351" s="576" t="s">
        <v>287</v>
      </c>
      <c r="C1351" s="582">
        <v>400</v>
      </c>
      <c r="D1351" s="582">
        <v>0</v>
      </c>
      <c r="E1351" s="961">
        <v>100</v>
      </c>
      <c r="F1351" s="582"/>
      <c r="G1351" s="582">
        <v>100</v>
      </c>
      <c r="H1351" s="582"/>
      <c r="I1351" s="639">
        <f t="shared" si="212"/>
        <v>0</v>
      </c>
      <c r="J1351" s="567"/>
      <c r="K1351" s="568"/>
    </row>
    <row r="1352" spans="1:11" x14ac:dyDescent="0.25">
      <c r="A1352" s="575">
        <v>63500</v>
      </c>
      <c r="B1352" s="576" t="s">
        <v>636</v>
      </c>
      <c r="C1352" s="582">
        <v>3000</v>
      </c>
      <c r="D1352" s="582">
        <v>6838.11</v>
      </c>
      <c r="E1352" s="961">
        <v>5000</v>
      </c>
      <c r="F1352" s="582"/>
      <c r="G1352" s="582">
        <v>5000</v>
      </c>
      <c r="H1352" s="582"/>
      <c r="I1352" s="639">
        <f t="shared" si="212"/>
        <v>0</v>
      </c>
      <c r="J1352" s="567"/>
      <c r="K1352" s="568"/>
    </row>
    <row r="1353" spans="1:11" x14ac:dyDescent="0.25">
      <c r="A1353" s="575">
        <v>64120</v>
      </c>
      <c r="B1353" s="576" t="s">
        <v>637</v>
      </c>
      <c r="C1353" s="582">
        <v>1000</v>
      </c>
      <c r="D1353" s="582">
        <v>1689.19</v>
      </c>
      <c r="E1353" s="961">
        <v>1500</v>
      </c>
      <c r="F1353" s="582"/>
      <c r="G1353" s="582">
        <v>1500</v>
      </c>
      <c r="H1353" s="582"/>
      <c r="I1353" s="639">
        <f t="shared" si="212"/>
        <v>0</v>
      </c>
      <c r="J1353" s="567"/>
      <c r="K1353" s="568"/>
    </row>
    <row r="1354" spans="1:11" x14ac:dyDescent="0.25">
      <c r="A1354" s="575">
        <v>66100</v>
      </c>
      <c r="B1354" s="576" t="s">
        <v>155</v>
      </c>
      <c r="C1354" s="582">
        <v>500</v>
      </c>
      <c r="D1354" s="582">
        <v>500</v>
      </c>
      <c r="E1354" s="961">
        <v>500</v>
      </c>
      <c r="F1354" s="582"/>
      <c r="G1354" s="582">
        <v>500</v>
      </c>
      <c r="H1354" s="582"/>
      <c r="I1354" s="639">
        <f t="shared" si="212"/>
        <v>0</v>
      </c>
      <c r="J1354" s="567"/>
      <c r="K1354" s="568"/>
    </row>
    <row r="1355" spans="1:11" x14ac:dyDescent="0.25">
      <c r="A1355" s="575"/>
      <c r="B1355" s="583" t="s">
        <v>507</v>
      </c>
      <c r="C1355" s="586">
        <f t="shared" ref="C1355:H1355" si="213">SUM(C1341:C1354)</f>
        <v>47895</v>
      </c>
      <c r="D1355" s="586">
        <f t="shared" si="213"/>
        <v>28138.16</v>
      </c>
      <c r="E1355" s="965">
        <f t="shared" si="213"/>
        <v>23019.5</v>
      </c>
      <c r="F1355" s="586">
        <f t="shared" si="213"/>
        <v>0</v>
      </c>
      <c r="G1355" s="586">
        <f t="shared" si="213"/>
        <v>23019.5</v>
      </c>
      <c r="H1355" s="586">
        <f t="shared" si="213"/>
        <v>0</v>
      </c>
      <c r="I1355" s="639">
        <f t="shared" si="212"/>
        <v>0</v>
      </c>
      <c r="J1355" s="567"/>
      <c r="K1355" s="568"/>
    </row>
    <row r="1356" spans="1:11" x14ac:dyDescent="0.25">
      <c r="A1356" s="575"/>
      <c r="B1356" s="576"/>
      <c r="C1356" s="564"/>
      <c r="D1356" s="576"/>
      <c r="E1356" s="576"/>
      <c r="F1356" s="564"/>
      <c r="G1356" s="581"/>
      <c r="H1356" s="581"/>
      <c r="I1356" s="581"/>
      <c r="J1356" s="567"/>
      <c r="K1356" s="568"/>
    </row>
    <row r="1357" spans="1:11" x14ac:dyDescent="0.25">
      <c r="A1357" s="560"/>
      <c r="B1357" s="561" t="s">
        <v>116</v>
      </c>
      <c r="C1357" s="579">
        <f>C1355</f>
        <v>47895</v>
      </c>
      <c r="D1357" s="579">
        <f t="shared" ref="D1357:H1357" si="214">D1355</f>
        <v>28138.16</v>
      </c>
      <c r="E1357" s="579">
        <f>E1355</f>
        <v>23019.5</v>
      </c>
      <c r="F1357" s="579">
        <f t="shared" si="214"/>
        <v>0</v>
      </c>
      <c r="G1357" s="579">
        <f>G1355</f>
        <v>23019.5</v>
      </c>
      <c r="H1357" s="579">
        <f t="shared" si="214"/>
        <v>0</v>
      </c>
      <c r="I1357" s="639">
        <f>F1357/C1357</f>
        <v>0</v>
      </c>
      <c r="J1357" s="567"/>
      <c r="K1357" s="568"/>
    </row>
    <row r="1358" spans="1:11" x14ac:dyDescent="0.25">
      <c r="A1358" s="560"/>
      <c r="B1358" s="561"/>
      <c r="C1358" s="582"/>
      <c r="D1358" s="582"/>
      <c r="E1358" s="582"/>
      <c r="F1358" s="582"/>
      <c r="G1358" s="582"/>
      <c r="H1358" s="582"/>
      <c r="I1358" s="581"/>
      <c r="J1358" s="567"/>
      <c r="K1358" s="568"/>
    </row>
    <row r="1359" spans="1:11" x14ac:dyDescent="0.25">
      <c r="A1359" s="560"/>
      <c r="B1359" s="561" t="s">
        <v>449</v>
      </c>
      <c r="C1359" s="579">
        <f t="shared" ref="C1359:H1359" si="215">C1337</f>
        <v>46800</v>
      </c>
      <c r="D1359" s="579">
        <f t="shared" si="215"/>
        <v>20388.239999999998</v>
      </c>
      <c r="E1359" s="579">
        <f t="shared" si="215"/>
        <v>24000.03</v>
      </c>
      <c r="F1359" s="579">
        <f t="shared" si="215"/>
        <v>0</v>
      </c>
      <c r="G1359" s="579">
        <f t="shared" si="215"/>
        <v>24000</v>
      </c>
      <c r="H1359" s="579">
        <f t="shared" si="215"/>
        <v>0</v>
      </c>
      <c r="I1359" s="639">
        <f>F1359/C1359</f>
        <v>0</v>
      </c>
      <c r="J1359" s="567"/>
      <c r="K1359" s="568"/>
    </row>
    <row r="1360" spans="1:11" x14ac:dyDescent="0.25">
      <c r="A1360" s="560"/>
      <c r="B1360" s="561" t="s">
        <v>613</v>
      </c>
      <c r="C1360" s="579">
        <f>C1357</f>
        <v>47895</v>
      </c>
      <c r="D1360" s="579">
        <f t="shared" ref="D1360:H1360" si="216">D1357</f>
        <v>28138.16</v>
      </c>
      <c r="E1360" s="579">
        <f>E1357</f>
        <v>23019.5</v>
      </c>
      <c r="F1360" s="579">
        <f t="shared" si="216"/>
        <v>0</v>
      </c>
      <c r="G1360" s="579">
        <f>G1357</f>
        <v>23019.5</v>
      </c>
      <c r="H1360" s="579">
        <f t="shared" si="216"/>
        <v>0</v>
      </c>
      <c r="I1360" s="639">
        <f>F1360/C1360</f>
        <v>0</v>
      </c>
      <c r="J1360" s="567"/>
      <c r="K1360" s="568"/>
    </row>
    <row r="1361" spans="1:11" x14ac:dyDescent="0.25">
      <c r="A1361" s="560"/>
      <c r="B1361" s="561" t="s">
        <v>450</v>
      </c>
      <c r="C1361" s="616">
        <f>C1359-C1360</f>
        <v>-1095</v>
      </c>
      <c r="D1361" s="616">
        <f t="shared" ref="D1361:H1361" si="217">D1359-D1360</f>
        <v>-7749.9200000000019</v>
      </c>
      <c r="E1361" s="616">
        <f>E1359-E1360</f>
        <v>980.52999999999884</v>
      </c>
      <c r="F1361" s="616">
        <f t="shared" si="217"/>
        <v>0</v>
      </c>
      <c r="G1361" s="616">
        <f>G1359-G1360</f>
        <v>980.5</v>
      </c>
      <c r="H1361" s="616">
        <f t="shared" si="217"/>
        <v>0</v>
      </c>
      <c r="I1361" s="639">
        <f>F1361/C1361</f>
        <v>0</v>
      </c>
      <c r="J1361" s="567"/>
      <c r="K1361" s="568"/>
    </row>
    <row r="1362" spans="1:11" x14ac:dyDescent="0.25">
      <c r="A1362" s="560"/>
      <c r="B1362" s="561" t="s">
        <v>451</v>
      </c>
      <c r="C1362" s="616">
        <f t="shared" ref="C1362:H1362" si="218">C1324+C1361</f>
        <v>28200</v>
      </c>
      <c r="D1362" s="616">
        <f t="shared" si="218"/>
        <v>-7749.9200000000019</v>
      </c>
      <c r="E1362" s="616">
        <f t="shared" si="218"/>
        <v>19171.53</v>
      </c>
      <c r="F1362" s="616">
        <f t="shared" si="218"/>
        <v>0</v>
      </c>
      <c r="G1362" s="616">
        <f t="shared" si="218"/>
        <v>20152.03</v>
      </c>
      <c r="H1362" s="616">
        <f t="shared" si="218"/>
        <v>0</v>
      </c>
      <c r="I1362" s="639">
        <f>F1362/C1362</f>
        <v>0</v>
      </c>
      <c r="J1362" s="567"/>
      <c r="K1362" s="568"/>
    </row>
    <row r="1363" spans="1:11" x14ac:dyDescent="0.25">
      <c r="A1363" s="560"/>
      <c r="B1363" s="561" t="s">
        <v>370</v>
      </c>
      <c r="C1363" s="616">
        <v>8600</v>
      </c>
      <c r="D1363" s="616">
        <v>0</v>
      </c>
      <c r="E1363" s="616">
        <v>0</v>
      </c>
      <c r="F1363" s="616">
        <v>0</v>
      </c>
      <c r="G1363" s="616"/>
      <c r="H1363" s="616"/>
      <c r="I1363" s="581"/>
      <c r="J1363" s="567"/>
      <c r="K1363" s="568"/>
    </row>
    <row r="1364" spans="1:11" x14ac:dyDescent="0.25">
      <c r="A1364" s="560"/>
      <c r="B1364" s="561" t="s">
        <v>465</v>
      </c>
      <c r="C1364" s="616">
        <f>C1362-C1363</f>
        <v>19600</v>
      </c>
      <c r="D1364" s="616">
        <f t="shared" ref="D1364:H1364" si="219">D1362-D1363</f>
        <v>-7749.9200000000019</v>
      </c>
      <c r="E1364" s="616">
        <f>E1362-E1363</f>
        <v>19171.53</v>
      </c>
      <c r="F1364" s="616">
        <f t="shared" si="219"/>
        <v>0</v>
      </c>
      <c r="G1364" s="616">
        <f>G1362-G1363</f>
        <v>20152.03</v>
      </c>
      <c r="H1364" s="616">
        <f t="shared" si="219"/>
        <v>0</v>
      </c>
      <c r="I1364" s="639">
        <f>F1364/C1364</f>
        <v>0</v>
      </c>
      <c r="J1364" s="567"/>
      <c r="K1364" s="568"/>
    </row>
    <row r="1365" spans="1:11" x14ac:dyDescent="0.25">
      <c r="A1365" s="560"/>
      <c r="B1365" s="561" t="s">
        <v>638</v>
      </c>
      <c r="C1365" s="579">
        <v>7500</v>
      </c>
      <c r="D1365" s="579">
        <v>7500</v>
      </c>
      <c r="E1365" s="579"/>
      <c r="F1365" s="579"/>
      <c r="G1365" s="579"/>
      <c r="H1365" s="579">
        <v>7500</v>
      </c>
      <c r="I1365" s="581"/>
      <c r="J1365" s="567"/>
      <c r="K1365" s="568"/>
    </row>
    <row r="1366" spans="1:11" s="569" customFormat="1" x14ac:dyDescent="0.25">
      <c r="A1366" s="575"/>
      <c r="B1366" s="561" t="s">
        <v>465</v>
      </c>
      <c r="C1366" s="579">
        <f>C1364-C1365</f>
        <v>12100</v>
      </c>
      <c r="D1366" s="579">
        <f t="shared" ref="D1366:H1366" si="220">D1364-D1365</f>
        <v>-15249.920000000002</v>
      </c>
      <c r="E1366" s="579">
        <f>E1364-E1365</f>
        <v>19171.53</v>
      </c>
      <c r="F1366" s="579">
        <f t="shared" si="220"/>
        <v>0</v>
      </c>
      <c r="G1366" s="579">
        <f>G1364-G1365</f>
        <v>20152.03</v>
      </c>
      <c r="H1366" s="579">
        <f t="shared" si="220"/>
        <v>-7500</v>
      </c>
      <c r="I1366" s="581"/>
      <c r="J1366" s="567"/>
      <c r="K1366" s="568"/>
    </row>
    <row r="1367" spans="1:11" x14ac:dyDescent="0.25">
      <c r="A1367" s="686">
        <v>280</v>
      </c>
      <c r="B1367" s="628" t="s">
        <v>1223</v>
      </c>
      <c r="C1367" s="630">
        <v>2017</v>
      </c>
      <c r="D1367" s="629" t="s">
        <v>1236</v>
      </c>
      <c r="E1367" s="629">
        <v>2018</v>
      </c>
      <c r="F1367" s="630" t="s">
        <v>1236</v>
      </c>
      <c r="G1367" s="631" t="s">
        <v>4</v>
      </c>
      <c r="H1367" s="631">
        <v>2019</v>
      </c>
      <c r="I1367" s="627" t="s">
        <v>5</v>
      </c>
      <c r="J1367" s="567"/>
      <c r="K1367" s="568"/>
    </row>
    <row r="1368" spans="1:11" x14ac:dyDescent="0.25">
      <c r="A1368" s="590"/>
      <c r="B1368" s="576" t="s">
        <v>93</v>
      </c>
      <c r="C1368" s="630" t="s">
        <v>6</v>
      </c>
      <c r="D1368" s="634">
        <v>43069</v>
      </c>
      <c r="E1368" s="629" t="s">
        <v>6</v>
      </c>
      <c r="F1368" s="634" t="s">
        <v>1237</v>
      </c>
      <c r="G1368" s="635" t="s">
        <v>1131</v>
      </c>
      <c r="H1368" s="635" t="s">
        <v>6</v>
      </c>
      <c r="I1368" s="627" t="s">
        <v>7</v>
      </c>
      <c r="J1368" s="567"/>
      <c r="K1368" s="568"/>
    </row>
    <row r="1369" spans="1:11" x14ac:dyDescent="0.25">
      <c r="A1369" s="575"/>
      <c r="B1369" s="576"/>
      <c r="C1369" s="564"/>
      <c r="D1369" s="581"/>
      <c r="E1369" s="577"/>
      <c r="F1369" s="564"/>
      <c r="G1369" s="581"/>
      <c r="H1369" s="581"/>
      <c r="I1369" s="581"/>
      <c r="J1369" s="567"/>
      <c r="K1369" s="568"/>
    </row>
    <row r="1370" spans="1:11" x14ac:dyDescent="0.25">
      <c r="A1370" s="561" t="s">
        <v>1235</v>
      </c>
      <c r="B1370" s="576"/>
      <c r="C1370" s="579">
        <v>6001</v>
      </c>
      <c r="D1370" s="579"/>
      <c r="E1370" s="966">
        <v>-65926</v>
      </c>
      <c r="F1370" s="579"/>
      <c r="G1370" s="759">
        <f>E1370+E1476-E1477</f>
        <v>-92129.99000000002</v>
      </c>
      <c r="H1370" s="579"/>
      <c r="I1370" s="581"/>
      <c r="J1370" s="567"/>
      <c r="K1370" s="568"/>
    </row>
    <row r="1371" spans="1:11" x14ac:dyDescent="0.25">
      <c r="A1371" s="580" t="s">
        <v>639</v>
      </c>
      <c r="B1371" s="561" t="s">
        <v>640</v>
      </c>
      <c r="C1371" s="582"/>
      <c r="D1371" s="582"/>
      <c r="E1371" s="961"/>
      <c r="F1371" s="582"/>
      <c r="G1371" s="582"/>
      <c r="H1371" s="582"/>
      <c r="I1371" s="581"/>
      <c r="J1371" s="567"/>
      <c r="K1371" s="568"/>
    </row>
    <row r="1372" spans="1:11" x14ac:dyDescent="0.25">
      <c r="A1372" s="575">
        <v>31100</v>
      </c>
      <c r="B1372" s="576" t="s">
        <v>641</v>
      </c>
      <c r="C1372" s="582"/>
      <c r="D1372" s="582">
        <v>0</v>
      </c>
      <c r="E1372" s="961">
        <v>0.01</v>
      </c>
      <c r="F1372" s="582"/>
      <c r="G1372" s="582">
        <v>0</v>
      </c>
      <c r="H1372" s="582"/>
      <c r="I1372" s="639" t="e">
        <f t="shared" ref="I1372:I1387" si="221">F1372/C1372</f>
        <v>#DIV/0!</v>
      </c>
      <c r="J1372" s="567"/>
      <c r="K1372" s="659"/>
    </row>
    <row r="1373" spans="1:11" x14ac:dyDescent="0.25">
      <c r="A1373" s="575">
        <v>31200</v>
      </c>
      <c r="B1373" s="576" t="s">
        <v>346</v>
      </c>
      <c r="C1373" s="582"/>
      <c r="D1373" s="582">
        <v>0</v>
      </c>
      <c r="E1373" s="961">
        <v>0.01</v>
      </c>
      <c r="F1373" s="582"/>
      <c r="G1373" s="582">
        <v>0</v>
      </c>
      <c r="H1373" s="582"/>
      <c r="I1373" s="639" t="e">
        <f t="shared" si="221"/>
        <v>#DIV/0!</v>
      </c>
      <c r="J1373" s="567"/>
      <c r="K1373" s="659"/>
    </row>
    <row r="1374" spans="1:11" x14ac:dyDescent="0.25">
      <c r="A1374" s="575">
        <v>31250</v>
      </c>
      <c r="B1374" s="576" t="s">
        <v>642</v>
      </c>
      <c r="C1374" s="582"/>
      <c r="D1374" s="582">
        <v>0</v>
      </c>
      <c r="E1374" s="961">
        <v>0.01</v>
      </c>
      <c r="F1374" s="582"/>
      <c r="G1374" s="582">
        <v>0</v>
      </c>
      <c r="H1374" s="582"/>
      <c r="I1374" s="639" t="e">
        <f t="shared" si="221"/>
        <v>#DIV/0!</v>
      </c>
      <c r="J1374" s="567"/>
      <c r="K1374" s="659"/>
    </row>
    <row r="1375" spans="1:11" x14ac:dyDescent="0.25">
      <c r="A1375" s="575">
        <v>32230</v>
      </c>
      <c r="B1375" s="576" t="s">
        <v>643</v>
      </c>
      <c r="C1375" s="582">
        <v>26100</v>
      </c>
      <c r="D1375" s="582">
        <v>20025</v>
      </c>
      <c r="E1375" s="961">
        <v>26100</v>
      </c>
      <c r="F1375" s="582"/>
      <c r="G1375" s="582">
        <v>26100</v>
      </c>
      <c r="H1375" s="582"/>
      <c r="I1375" s="639">
        <f t="shared" si="221"/>
        <v>0</v>
      </c>
      <c r="J1375" s="567"/>
      <c r="K1375" s="568"/>
    </row>
    <row r="1376" spans="1:11" x14ac:dyDescent="0.25">
      <c r="A1376" s="575">
        <v>32250</v>
      </c>
      <c r="B1376" s="576" t="s">
        <v>644</v>
      </c>
      <c r="C1376" s="582">
        <v>0</v>
      </c>
      <c r="D1376" s="582">
        <v>0</v>
      </c>
      <c r="E1376" s="961">
        <v>0</v>
      </c>
      <c r="F1376" s="582"/>
      <c r="G1376" s="582">
        <v>0</v>
      </c>
      <c r="H1376" s="582"/>
      <c r="I1376" s="639" t="e">
        <f t="shared" si="221"/>
        <v>#DIV/0!</v>
      </c>
      <c r="J1376" s="567"/>
      <c r="K1376" s="568"/>
    </row>
    <row r="1377" spans="1:11" x14ac:dyDescent="0.25">
      <c r="A1377" s="575">
        <v>32260</v>
      </c>
      <c r="B1377" s="576" t="s">
        <v>645</v>
      </c>
      <c r="C1377" s="582">
        <v>2000</v>
      </c>
      <c r="D1377" s="582">
        <v>2400</v>
      </c>
      <c r="E1377" s="961">
        <v>2000</v>
      </c>
      <c r="F1377" s="582"/>
      <c r="G1377" s="582">
        <v>2000</v>
      </c>
      <c r="H1377" s="582"/>
      <c r="I1377" s="639">
        <f t="shared" si="221"/>
        <v>0</v>
      </c>
      <c r="J1377" s="567"/>
      <c r="K1377" s="568"/>
    </row>
    <row r="1378" spans="1:11" x14ac:dyDescent="0.25">
      <c r="A1378" s="575">
        <v>32330</v>
      </c>
      <c r="B1378" s="576" t="s">
        <v>1244</v>
      </c>
      <c r="C1378" s="582"/>
      <c r="D1378" s="582">
        <v>1265.48</v>
      </c>
      <c r="E1378" s="961">
        <v>0</v>
      </c>
      <c r="F1378" s="582"/>
      <c r="G1378" s="582">
        <v>0</v>
      </c>
      <c r="H1378" s="582"/>
      <c r="I1378" s="639" t="e">
        <f t="shared" si="221"/>
        <v>#DIV/0!</v>
      </c>
      <c r="J1378" s="567"/>
      <c r="K1378" s="568"/>
    </row>
    <row r="1379" spans="1:11" x14ac:dyDescent="0.25">
      <c r="A1379" s="575">
        <v>32470</v>
      </c>
      <c r="B1379" s="576" t="s">
        <v>646</v>
      </c>
      <c r="C1379" s="582">
        <v>2000</v>
      </c>
      <c r="D1379" s="582">
        <v>5300</v>
      </c>
      <c r="E1379" s="961">
        <v>2000</v>
      </c>
      <c r="F1379" s="582"/>
      <c r="G1379" s="582">
        <v>2000</v>
      </c>
      <c r="H1379" s="582"/>
      <c r="I1379" s="639">
        <f t="shared" si="221"/>
        <v>0</v>
      </c>
      <c r="J1379" s="567"/>
      <c r="K1379" s="568"/>
    </row>
    <row r="1380" spans="1:11" x14ac:dyDescent="0.25">
      <c r="A1380" s="575">
        <v>33440</v>
      </c>
      <c r="B1380" s="576" t="s">
        <v>647</v>
      </c>
      <c r="C1380" s="582">
        <v>1000</v>
      </c>
      <c r="D1380" s="582">
        <v>0</v>
      </c>
      <c r="E1380" s="961">
        <v>0</v>
      </c>
      <c r="F1380" s="582"/>
      <c r="G1380" s="582">
        <v>0</v>
      </c>
      <c r="H1380" s="582"/>
      <c r="I1380" s="639">
        <f t="shared" si="221"/>
        <v>0</v>
      </c>
      <c r="J1380" s="567"/>
      <c r="K1380" s="568"/>
    </row>
    <row r="1381" spans="1:11" x14ac:dyDescent="0.25">
      <c r="A1381" s="575">
        <v>33530</v>
      </c>
      <c r="B1381" s="576" t="s">
        <v>648</v>
      </c>
      <c r="C1381" s="582">
        <v>15000</v>
      </c>
      <c r="D1381" s="582">
        <v>10160</v>
      </c>
      <c r="E1381" s="961">
        <v>15000</v>
      </c>
      <c r="F1381" s="582"/>
      <c r="G1381" s="582">
        <v>15000</v>
      </c>
      <c r="H1381" s="582"/>
      <c r="I1381" s="639">
        <f t="shared" si="221"/>
        <v>0</v>
      </c>
      <c r="J1381" s="567"/>
      <c r="K1381" s="568"/>
    </row>
    <row r="1382" spans="1:11" x14ac:dyDescent="0.25">
      <c r="A1382" s="575">
        <v>33531</v>
      </c>
      <c r="B1382" s="576" t="s">
        <v>649</v>
      </c>
      <c r="C1382" s="582">
        <v>0</v>
      </c>
      <c r="D1382" s="582">
        <v>0</v>
      </c>
      <c r="E1382" s="961">
        <v>0</v>
      </c>
      <c r="F1382" s="611"/>
      <c r="G1382" s="611">
        <v>0</v>
      </c>
      <c r="H1382" s="611"/>
      <c r="I1382" s="639" t="e">
        <f t="shared" si="221"/>
        <v>#DIV/0!</v>
      </c>
      <c r="J1382" s="567"/>
      <c r="K1382" s="568"/>
    </row>
    <row r="1383" spans="1:11" x14ac:dyDescent="0.25">
      <c r="A1383" s="575">
        <v>33532</v>
      </c>
      <c r="B1383" s="576" t="s">
        <v>650</v>
      </c>
      <c r="C1383" s="582">
        <v>1000</v>
      </c>
      <c r="D1383" s="582">
        <v>0</v>
      </c>
      <c r="E1383" s="961">
        <v>1000</v>
      </c>
      <c r="F1383" s="611"/>
      <c r="G1383" s="611">
        <v>1000</v>
      </c>
      <c r="H1383" s="611"/>
      <c r="I1383" s="639">
        <f t="shared" si="221"/>
        <v>0</v>
      </c>
      <c r="J1383" s="567"/>
      <c r="K1383" s="568"/>
    </row>
    <row r="1384" spans="1:11" x14ac:dyDescent="0.25">
      <c r="A1384" s="575">
        <v>34010</v>
      </c>
      <c r="B1384" s="576" t="s">
        <v>651</v>
      </c>
      <c r="C1384" s="582">
        <v>500</v>
      </c>
      <c r="D1384" s="582">
        <v>210</v>
      </c>
      <c r="E1384" s="961">
        <v>500</v>
      </c>
      <c r="F1384" s="582"/>
      <c r="G1384" s="582">
        <v>500</v>
      </c>
      <c r="H1384" s="582"/>
      <c r="I1384" s="639">
        <f t="shared" si="221"/>
        <v>0</v>
      </c>
      <c r="J1384" s="567"/>
      <c r="K1384" s="568"/>
    </row>
    <row r="1385" spans="1:11" x14ac:dyDescent="0.25">
      <c r="A1385" s="575">
        <v>34160</v>
      </c>
      <c r="B1385" s="576" t="s">
        <v>932</v>
      </c>
      <c r="C1385" s="582">
        <v>83500</v>
      </c>
      <c r="D1385" s="582">
        <v>47648.56</v>
      </c>
      <c r="E1385" s="961">
        <v>163000</v>
      </c>
      <c r="F1385" s="582"/>
      <c r="G1385" s="582">
        <v>163000</v>
      </c>
      <c r="H1385" s="582"/>
      <c r="I1385" s="639">
        <f t="shared" si="221"/>
        <v>0</v>
      </c>
      <c r="J1385" s="567"/>
      <c r="K1385" s="568"/>
    </row>
    <row r="1386" spans="1:11" x14ac:dyDescent="0.25">
      <c r="A1386" s="575">
        <v>36300</v>
      </c>
      <c r="B1386" s="576" t="s">
        <v>652</v>
      </c>
      <c r="C1386" s="611">
        <v>0</v>
      </c>
      <c r="D1386" s="582">
        <v>0</v>
      </c>
      <c r="E1386" s="961">
        <v>0</v>
      </c>
      <c r="F1386" s="611"/>
      <c r="G1386" s="611">
        <v>0</v>
      </c>
      <c r="H1386" s="611"/>
      <c r="I1386" s="639" t="e">
        <f t="shared" si="221"/>
        <v>#DIV/0!</v>
      </c>
      <c r="J1386" s="567"/>
      <c r="K1386" s="767"/>
    </row>
    <row r="1387" spans="1:11" x14ac:dyDescent="0.25">
      <c r="A1387" s="575"/>
      <c r="B1387" s="583" t="s">
        <v>507</v>
      </c>
      <c r="C1387" s="589">
        <f>SUM(C1372:C1386)</f>
        <v>131100</v>
      </c>
      <c r="D1387" s="589">
        <f t="shared" ref="D1387:F1387" si="222">SUM(D1372:D1386)</f>
        <v>87009.04</v>
      </c>
      <c r="E1387" s="962">
        <f>SUM(E1372:E1386)</f>
        <v>209600.03</v>
      </c>
      <c r="F1387" s="589">
        <f t="shared" si="222"/>
        <v>0</v>
      </c>
      <c r="G1387" s="589">
        <f>SUM(G1372:G1386)</f>
        <v>209600</v>
      </c>
      <c r="H1387" s="589">
        <f t="shared" ref="H1387" si="223">SUM(H1372:H1386)</f>
        <v>0</v>
      </c>
      <c r="I1387" s="639">
        <f t="shared" si="221"/>
        <v>0</v>
      </c>
      <c r="J1387" s="567"/>
      <c r="K1387" s="768"/>
    </row>
    <row r="1388" spans="1:11" x14ac:dyDescent="0.25">
      <c r="A1388" s="575"/>
      <c r="B1388" s="576"/>
      <c r="C1388" s="582"/>
      <c r="D1388" s="582"/>
      <c r="E1388" s="961"/>
      <c r="F1388" s="582"/>
      <c r="G1388" s="582"/>
      <c r="H1388" s="582"/>
      <c r="I1388" s="581"/>
      <c r="J1388" s="567"/>
      <c r="K1388" s="769"/>
    </row>
    <row r="1389" spans="1:11" x14ac:dyDescent="0.25">
      <c r="A1389" s="575">
        <v>38102</v>
      </c>
      <c r="B1389" s="576" t="s">
        <v>531</v>
      </c>
      <c r="C1389" s="582">
        <v>20000</v>
      </c>
      <c r="D1389" s="741">
        <v>20000</v>
      </c>
      <c r="E1389" s="963">
        <v>28000</v>
      </c>
      <c r="F1389" s="582"/>
      <c r="G1389" s="582">
        <v>28000</v>
      </c>
      <c r="H1389" s="582"/>
      <c r="I1389" s="639">
        <f>F1389/C1389</f>
        <v>0</v>
      </c>
      <c r="J1389" s="567"/>
      <c r="K1389" s="768"/>
    </row>
    <row r="1390" spans="1:11" x14ac:dyDescent="0.25">
      <c r="A1390" s="575">
        <v>38103</v>
      </c>
      <c r="B1390" s="576" t="s">
        <v>370</v>
      </c>
      <c r="C1390" s="611"/>
      <c r="D1390" s="741">
        <v>0</v>
      </c>
      <c r="E1390" s="963">
        <v>0</v>
      </c>
      <c r="F1390" s="582"/>
      <c r="G1390" s="582">
        <v>0</v>
      </c>
      <c r="H1390" s="582"/>
      <c r="I1390" s="639" t="e">
        <f>F1390/C1390</f>
        <v>#DIV/0!</v>
      </c>
      <c r="J1390" s="567"/>
      <c r="K1390" s="568"/>
    </row>
    <row r="1391" spans="1:11" x14ac:dyDescent="0.25">
      <c r="A1391" s="575"/>
      <c r="B1391" s="583" t="s">
        <v>507</v>
      </c>
      <c r="C1391" s="586">
        <f>SUM(C1389:C1390)</f>
        <v>20000</v>
      </c>
      <c r="D1391" s="586">
        <f t="shared" ref="D1391:F1391" si="224">SUM(D1389:D1390)</f>
        <v>20000</v>
      </c>
      <c r="E1391" s="967">
        <f>SUM(E1389:E1390)</f>
        <v>28000</v>
      </c>
      <c r="F1391" s="586">
        <f t="shared" si="224"/>
        <v>0</v>
      </c>
      <c r="G1391" s="586">
        <f>SUM(G1389:G1390)</f>
        <v>28000</v>
      </c>
      <c r="H1391" s="586">
        <f t="shared" ref="H1391" si="225">SUM(H1389:H1390)</f>
        <v>0</v>
      </c>
      <c r="I1391" s="639">
        <f>F1391/C1391</f>
        <v>0</v>
      </c>
      <c r="J1391" s="567"/>
      <c r="K1391" s="568"/>
    </row>
    <row r="1392" spans="1:11" x14ac:dyDescent="0.25">
      <c r="A1392" s="575"/>
      <c r="B1392" s="561" t="s">
        <v>373</v>
      </c>
      <c r="C1392" s="616">
        <f>C1387+C1391</f>
        <v>151100</v>
      </c>
      <c r="D1392" s="616">
        <f t="shared" ref="D1392:F1392" si="226">D1387+D1391</f>
        <v>107009.04</v>
      </c>
      <c r="E1392" s="955">
        <f>E1387+E1391</f>
        <v>237600.03</v>
      </c>
      <c r="F1392" s="616">
        <f t="shared" si="226"/>
        <v>0</v>
      </c>
      <c r="G1392" s="616">
        <f>G1387+G1391</f>
        <v>237600</v>
      </c>
      <c r="H1392" s="616">
        <f t="shared" ref="H1392" si="227">H1387+H1391</f>
        <v>0</v>
      </c>
      <c r="I1392" s="639">
        <f>F1392/C1392</f>
        <v>0</v>
      </c>
      <c r="J1392" s="567"/>
      <c r="K1392" s="568"/>
    </row>
    <row r="1393" spans="1:11" x14ac:dyDescent="0.25">
      <c r="A1393" s="575"/>
      <c r="B1393" s="561"/>
      <c r="C1393" s="564"/>
      <c r="D1393" s="582"/>
      <c r="E1393" s="576"/>
      <c r="F1393" s="564"/>
      <c r="G1393" s="581"/>
      <c r="H1393" s="581"/>
      <c r="I1393" s="581"/>
      <c r="J1393" s="567"/>
      <c r="K1393" s="568"/>
    </row>
    <row r="1394" spans="1:11" s="569" customFormat="1" x14ac:dyDescent="0.25">
      <c r="A1394" s="580"/>
      <c r="B1394" s="576"/>
      <c r="C1394" s="564"/>
      <c r="D1394" s="576"/>
      <c r="E1394" s="576"/>
      <c r="F1394" s="564"/>
      <c r="G1394" s="581"/>
      <c r="H1394" s="581"/>
      <c r="I1394" s="581"/>
      <c r="J1394" s="567"/>
      <c r="K1394" s="568"/>
    </row>
    <row r="1395" spans="1:11" x14ac:dyDescent="0.25">
      <c r="A1395" s="764" t="s">
        <v>653</v>
      </c>
      <c r="B1395" s="688" t="s">
        <v>1245</v>
      </c>
      <c r="C1395" s="630">
        <v>2017</v>
      </c>
      <c r="D1395" s="629" t="s">
        <v>1236</v>
      </c>
      <c r="E1395" s="629">
        <v>2018</v>
      </c>
      <c r="F1395" s="630" t="s">
        <v>1236</v>
      </c>
      <c r="G1395" s="631" t="s">
        <v>4</v>
      </c>
      <c r="H1395" s="631">
        <v>2019</v>
      </c>
      <c r="I1395" s="627" t="s">
        <v>5</v>
      </c>
      <c r="J1395" s="567"/>
      <c r="K1395" s="568"/>
    </row>
    <row r="1396" spans="1:11" x14ac:dyDescent="0.25">
      <c r="A1396" s="575"/>
      <c r="B1396" s="576" t="s">
        <v>93</v>
      </c>
      <c r="C1396" s="630" t="s">
        <v>6</v>
      </c>
      <c r="D1396" s="634">
        <v>43069</v>
      </c>
      <c r="E1396" s="629" t="s">
        <v>6</v>
      </c>
      <c r="F1396" s="634">
        <v>42766</v>
      </c>
      <c r="G1396" s="635" t="s">
        <v>1131</v>
      </c>
      <c r="H1396" s="635" t="s">
        <v>6</v>
      </c>
      <c r="I1396" s="627" t="s">
        <v>92</v>
      </c>
      <c r="J1396" s="567"/>
      <c r="K1396" s="568"/>
    </row>
    <row r="1397" spans="1:11" x14ac:dyDescent="0.25">
      <c r="A1397" s="575">
        <v>40100</v>
      </c>
      <c r="B1397" s="576" t="s">
        <v>408</v>
      </c>
      <c r="C1397" s="582">
        <v>31316</v>
      </c>
      <c r="D1397" s="581">
        <f>17553.99+817.46+1955.24+69.18</f>
        <v>20395.870000000003</v>
      </c>
      <c r="E1397" s="901">
        <v>17290</v>
      </c>
      <c r="F1397" s="582"/>
      <c r="G1397" s="581">
        <v>17290</v>
      </c>
      <c r="H1397" s="581"/>
      <c r="I1397" s="639">
        <f t="shared" ref="I1397:I1414" si="228">F1397/C1397</f>
        <v>0</v>
      </c>
      <c r="J1397" s="567"/>
      <c r="K1397" s="689"/>
    </row>
    <row r="1398" spans="1:11" x14ac:dyDescent="0.25">
      <c r="A1398" s="575">
        <v>40110</v>
      </c>
      <c r="B1398" s="576" t="s">
        <v>654</v>
      </c>
      <c r="C1398" s="582">
        <v>0</v>
      </c>
      <c r="D1398" s="721">
        <v>0</v>
      </c>
      <c r="E1398" s="907">
        <v>0</v>
      </c>
      <c r="F1398" s="582"/>
      <c r="G1398" s="581">
        <v>0</v>
      </c>
      <c r="H1398" s="581"/>
      <c r="I1398" s="639" t="e">
        <f t="shared" si="228"/>
        <v>#DIV/0!</v>
      </c>
      <c r="J1398" s="770"/>
      <c r="K1398" s="568"/>
    </row>
    <row r="1399" spans="1:11" x14ac:dyDescent="0.25">
      <c r="A1399" s="575">
        <v>41410</v>
      </c>
      <c r="B1399" s="576" t="s">
        <v>478</v>
      </c>
      <c r="C1399" s="582">
        <v>68</v>
      </c>
      <c r="D1399" s="581">
        <v>50.64</v>
      </c>
      <c r="E1399" s="901">
        <v>52</v>
      </c>
      <c r="F1399" s="582"/>
      <c r="G1399" s="581">
        <v>52</v>
      </c>
      <c r="H1399" s="581"/>
      <c r="I1399" s="639">
        <f t="shared" si="228"/>
        <v>0</v>
      </c>
      <c r="J1399" s="567"/>
      <c r="K1399" s="568"/>
    </row>
    <row r="1400" spans="1:11" x14ac:dyDescent="0.25">
      <c r="A1400" s="575">
        <v>41420</v>
      </c>
      <c r="B1400" s="576" t="s">
        <v>655</v>
      </c>
      <c r="C1400" s="582">
        <v>1146</v>
      </c>
      <c r="D1400" s="581">
        <v>1146</v>
      </c>
      <c r="E1400" s="901">
        <v>835</v>
      </c>
      <c r="F1400" s="582"/>
      <c r="G1400" s="581">
        <v>835</v>
      </c>
      <c r="H1400" s="581"/>
      <c r="I1400" s="639">
        <f t="shared" si="228"/>
        <v>0</v>
      </c>
      <c r="J1400" s="567"/>
      <c r="K1400" s="568"/>
    </row>
    <row r="1401" spans="1:11" x14ac:dyDescent="0.25">
      <c r="A1401" s="575">
        <v>41430</v>
      </c>
      <c r="B1401" s="576" t="s">
        <v>98</v>
      </c>
      <c r="C1401" s="582">
        <v>10100</v>
      </c>
      <c r="D1401" s="581">
        <v>10634.65</v>
      </c>
      <c r="E1401" s="901">
        <v>4204</v>
      </c>
      <c r="F1401" s="582"/>
      <c r="G1401" s="581">
        <v>4204</v>
      </c>
      <c r="H1401" s="581"/>
      <c r="I1401" s="639">
        <f t="shared" si="228"/>
        <v>0</v>
      </c>
      <c r="J1401" s="567"/>
      <c r="K1401" s="568"/>
    </row>
    <row r="1402" spans="1:11" x14ac:dyDescent="0.25">
      <c r="A1402" s="575">
        <v>41440</v>
      </c>
      <c r="B1402" s="576" t="s">
        <v>100</v>
      </c>
      <c r="C1402" s="582">
        <v>1942</v>
      </c>
      <c r="D1402" s="581">
        <v>1046.58</v>
      </c>
      <c r="E1402" s="901">
        <v>1072</v>
      </c>
      <c r="F1402" s="582"/>
      <c r="G1402" s="581">
        <v>1072</v>
      </c>
      <c r="H1402" s="581"/>
      <c r="I1402" s="639">
        <f t="shared" si="228"/>
        <v>0</v>
      </c>
      <c r="J1402" s="567"/>
      <c r="K1402" s="568"/>
    </row>
    <row r="1403" spans="1:11" x14ac:dyDescent="0.25">
      <c r="A1403" s="575">
        <v>41450</v>
      </c>
      <c r="B1403" s="576" t="s">
        <v>101</v>
      </c>
      <c r="C1403" s="582">
        <v>454</v>
      </c>
      <c r="D1403" s="581">
        <v>244.76</v>
      </c>
      <c r="E1403" s="901">
        <v>251</v>
      </c>
      <c r="F1403" s="582"/>
      <c r="G1403" s="581">
        <f>(G1397+G1398)*1.45%</f>
        <v>250.70499999999998</v>
      </c>
      <c r="H1403" s="581"/>
      <c r="I1403" s="639">
        <f t="shared" si="228"/>
        <v>0</v>
      </c>
      <c r="J1403" s="567"/>
      <c r="K1403" s="568"/>
    </row>
    <row r="1404" spans="1:11" x14ac:dyDescent="0.25">
      <c r="A1404" s="575">
        <v>41470</v>
      </c>
      <c r="B1404" s="576" t="s">
        <v>102</v>
      </c>
      <c r="C1404" s="582">
        <v>9</v>
      </c>
      <c r="D1404" s="581">
        <v>15.36</v>
      </c>
      <c r="E1404" s="901">
        <v>11</v>
      </c>
      <c r="F1404" s="582"/>
      <c r="G1404" s="581">
        <v>11</v>
      </c>
      <c r="H1404" s="581"/>
      <c r="I1404" s="639">
        <f t="shared" si="228"/>
        <v>0</v>
      </c>
      <c r="J1404" s="567"/>
      <c r="K1404" s="568"/>
    </row>
    <row r="1405" spans="1:11" x14ac:dyDescent="0.25">
      <c r="A1405" s="575">
        <v>50310</v>
      </c>
      <c r="B1405" s="576" t="s">
        <v>656</v>
      </c>
      <c r="C1405" s="582">
        <v>2000</v>
      </c>
      <c r="D1405" s="581">
        <v>1275.17</v>
      </c>
      <c r="E1405" s="901">
        <v>1300</v>
      </c>
      <c r="F1405" s="582"/>
      <c r="G1405" s="581">
        <v>1300</v>
      </c>
      <c r="H1405" s="581"/>
      <c r="I1405" s="639">
        <f t="shared" si="228"/>
        <v>0</v>
      </c>
      <c r="J1405" s="567"/>
      <c r="K1405" s="568"/>
    </row>
    <row r="1406" spans="1:11" x14ac:dyDescent="0.25">
      <c r="A1406" s="575">
        <v>50311</v>
      </c>
      <c r="B1406" s="576" t="s">
        <v>657</v>
      </c>
      <c r="C1406" s="582">
        <v>1000</v>
      </c>
      <c r="D1406" s="581">
        <v>1048.71</v>
      </c>
      <c r="E1406" s="901">
        <v>1000</v>
      </c>
      <c r="F1406" s="582"/>
      <c r="G1406" s="581">
        <v>1000</v>
      </c>
      <c r="H1406" s="581"/>
      <c r="I1406" s="639">
        <f t="shared" si="228"/>
        <v>0</v>
      </c>
      <c r="J1406" s="567"/>
      <c r="K1406" s="568"/>
    </row>
    <row r="1407" spans="1:11" x14ac:dyDescent="0.25">
      <c r="A1407" s="575">
        <v>50312</v>
      </c>
      <c r="B1407" s="576" t="s">
        <v>384</v>
      </c>
      <c r="C1407" s="582">
        <v>0</v>
      </c>
      <c r="D1407" s="581"/>
      <c r="E1407" s="901">
        <v>0</v>
      </c>
      <c r="F1407" s="582"/>
      <c r="G1407" s="581">
        <v>0</v>
      </c>
      <c r="H1407" s="581"/>
      <c r="I1407" s="639" t="e">
        <f t="shared" si="228"/>
        <v>#DIV/0!</v>
      </c>
      <c r="J1407" s="567"/>
      <c r="K1407" s="568"/>
    </row>
    <row r="1408" spans="1:11" x14ac:dyDescent="0.25">
      <c r="A1408" s="575">
        <v>53550</v>
      </c>
      <c r="B1408" s="576" t="s">
        <v>287</v>
      </c>
      <c r="C1408" s="582">
        <v>50</v>
      </c>
      <c r="D1408" s="581">
        <v>32.75</v>
      </c>
      <c r="E1408" s="901">
        <v>50</v>
      </c>
      <c r="F1408" s="582"/>
      <c r="G1408" s="581">
        <v>50</v>
      </c>
      <c r="H1408" s="581"/>
      <c r="I1408" s="639">
        <f t="shared" si="228"/>
        <v>0</v>
      </c>
      <c r="J1408" s="567"/>
      <c r="K1408" s="568"/>
    </row>
    <row r="1409" spans="1:11" x14ac:dyDescent="0.25">
      <c r="A1409" s="575">
        <v>54110</v>
      </c>
      <c r="B1409" s="576" t="s">
        <v>103</v>
      </c>
      <c r="C1409" s="582">
        <v>50</v>
      </c>
      <c r="D1409" s="581">
        <v>483.73</v>
      </c>
      <c r="E1409" s="901">
        <v>300</v>
      </c>
      <c r="F1409" s="582"/>
      <c r="G1409" s="581">
        <v>300</v>
      </c>
      <c r="H1409" s="581"/>
      <c r="I1409" s="639">
        <f t="shared" si="228"/>
        <v>0</v>
      </c>
      <c r="J1409" s="567"/>
      <c r="K1409" s="568"/>
    </row>
    <row r="1410" spans="1:11" x14ac:dyDescent="0.25">
      <c r="A1410" s="575">
        <v>54120</v>
      </c>
      <c r="B1410" s="576" t="s">
        <v>104</v>
      </c>
      <c r="C1410" s="582">
        <v>150</v>
      </c>
      <c r="D1410" s="581">
        <v>141.97999999999999</v>
      </c>
      <c r="E1410" s="901">
        <v>150</v>
      </c>
      <c r="F1410" s="582"/>
      <c r="G1410" s="581">
        <v>150</v>
      </c>
      <c r="H1410" s="581"/>
      <c r="I1410" s="639">
        <f t="shared" si="228"/>
        <v>0</v>
      </c>
      <c r="J1410" s="567"/>
      <c r="K1410" s="568"/>
    </row>
    <row r="1411" spans="1:11" x14ac:dyDescent="0.25">
      <c r="A1411" s="575">
        <v>54212</v>
      </c>
      <c r="B1411" s="576" t="s">
        <v>658</v>
      </c>
      <c r="C1411" s="582">
        <v>1000</v>
      </c>
      <c r="D1411" s="581">
        <v>2462.7199999999998</v>
      </c>
      <c r="E1411" s="901">
        <v>2000</v>
      </c>
      <c r="F1411" s="582"/>
      <c r="G1411" s="581">
        <v>2000</v>
      </c>
      <c r="H1411" s="581"/>
      <c r="I1411" s="639">
        <f t="shared" si="228"/>
        <v>0</v>
      </c>
      <c r="J1411" s="567"/>
      <c r="K1411" s="568"/>
    </row>
    <row r="1412" spans="1:11" x14ac:dyDescent="0.25">
      <c r="A1412" s="575">
        <v>59120</v>
      </c>
      <c r="B1412" s="576" t="s">
        <v>659</v>
      </c>
      <c r="C1412" s="582">
        <v>1000</v>
      </c>
      <c r="D1412" s="581">
        <v>35.18</v>
      </c>
      <c r="E1412" s="901">
        <v>500</v>
      </c>
      <c r="F1412" s="582"/>
      <c r="G1412" s="581">
        <v>500</v>
      </c>
      <c r="H1412" s="581"/>
      <c r="I1412" s="639">
        <f t="shared" si="228"/>
        <v>0</v>
      </c>
      <c r="J1412" s="567"/>
      <c r="K1412" s="568"/>
    </row>
    <row r="1413" spans="1:11" x14ac:dyDescent="0.25">
      <c r="A1413" s="575">
        <v>59210</v>
      </c>
      <c r="B1413" s="576" t="s">
        <v>660</v>
      </c>
      <c r="C1413" s="582">
        <v>2500</v>
      </c>
      <c r="D1413" s="581">
        <v>3264.9</v>
      </c>
      <c r="E1413" s="901">
        <v>3000</v>
      </c>
      <c r="F1413" s="582"/>
      <c r="G1413" s="581">
        <v>3000</v>
      </c>
      <c r="H1413" s="581"/>
      <c r="I1413" s="639">
        <f t="shared" si="228"/>
        <v>0</v>
      </c>
      <c r="J1413" s="567"/>
      <c r="K1413" s="568"/>
    </row>
    <row r="1414" spans="1:11" x14ac:dyDescent="0.25">
      <c r="A1414" s="575">
        <v>59500</v>
      </c>
      <c r="B1414" s="576" t="s">
        <v>661</v>
      </c>
      <c r="C1414" s="582">
        <v>1000</v>
      </c>
      <c r="D1414" s="581">
        <v>104</v>
      </c>
      <c r="E1414" s="901">
        <v>500</v>
      </c>
      <c r="F1414" s="582"/>
      <c r="G1414" s="581">
        <v>500</v>
      </c>
      <c r="H1414" s="581"/>
      <c r="I1414" s="639">
        <f t="shared" si="228"/>
        <v>0</v>
      </c>
      <c r="J1414" s="567"/>
      <c r="K1414" s="568"/>
    </row>
    <row r="1415" spans="1:11" x14ac:dyDescent="0.25">
      <c r="A1415" s="575">
        <v>59536</v>
      </c>
      <c r="B1415" s="576" t="s">
        <v>646</v>
      </c>
      <c r="C1415" s="582"/>
      <c r="D1415" s="581">
        <v>3543.2</v>
      </c>
      <c r="E1415" s="901"/>
      <c r="F1415" s="582"/>
      <c r="G1415" s="581"/>
      <c r="H1415" s="581"/>
      <c r="I1415" s="639"/>
      <c r="J1415" s="567"/>
      <c r="K1415" s="568"/>
    </row>
    <row r="1416" spans="1:11" x14ac:dyDescent="0.25">
      <c r="A1416" s="575">
        <v>59710</v>
      </c>
      <c r="B1416" s="576" t="s">
        <v>1154</v>
      </c>
      <c r="C1416" s="582">
        <v>4000</v>
      </c>
      <c r="D1416" s="581">
        <v>4566.8</v>
      </c>
      <c r="E1416" s="901">
        <v>4500</v>
      </c>
      <c r="F1416" s="582"/>
      <c r="G1416" s="581">
        <v>4500</v>
      </c>
      <c r="H1416" s="581"/>
      <c r="I1416" s="639">
        <f t="shared" ref="I1416:I1434" si="229">F1416/C1416</f>
        <v>0</v>
      </c>
      <c r="J1416" s="567"/>
      <c r="K1416" s="568"/>
    </row>
    <row r="1417" spans="1:11" x14ac:dyDescent="0.25">
      <c r="A1417" s="575">
        <v>59850</v>
      </c>
      <c r="B1417" s="576" t="s">
        <v>662</v>
      </c>
      <c r="C1417" s="582">
        <v>0</v>
      </c>
      <c r="D1417" s="581">
        <v>0</v>
      </c>
      <c r="E1417" s="901">
        <v>0</v>
      </c>
      <c r="F1417" s="582"/>
      <c r="G1417" s="581">
        <v>0</v>
      </c>
      <c r="H1417" s="581"/>
      <c r="I1417" s="639" t="e">
        <f t="shared" si="229"/>
        <v>#DIV/0!</v>
      </c>
      <c r="J1417" s="567"/>
      <c r="K1417" s="568"/>
    </row>
    <row r="1418" spans="1:11" x14ac:dyDescent="0.25">
      <c r="A1418" s="575">
        <v>60000</v>
      </c>
      <c r="B1418" s="576" t="s">
        <v>663</v>
      </c>
      <c r="C1418" s="582">
        <v>0</v>
      </c>
      <c r="D1418" s="581">
        <v>408</v>
      </c>
      <c r="E1418" s="901">
        <v>0</v>
      </c>
      <c r="F1418" s="582"/>
      <c r="G1418" s="581">
        <v>0</v>
      </c>
      <c r="H1418" s="581"/>
      <c r="I1418" s="639" t="e">
        <f t="shared" si="229"/>
        <v>#DIV/0!</v>
      </c>
      <c r="J1418" s="567"/>
      <c r="K1418" s="568"/>
    </row>
    <row r="1419" spans="1:11" x14ac:dyDescent="0.25">
      <c r="A1419" s="575">
        <v>61200</v>
      </c>
      <c r="B1419" s="576" t="s">
        <v>107</v>
      </c>
      <c r="C1419" s="582">
        <v>150</v>
      </c>
      <c r="D1419" s="581">
        <v>0</v>
      </c>
      <c r="E1419" s="901">
        <v>400</v>
      </c>
      <c r="F1419" s="582"/>
      <c r="G1419" s="581">
        <v>400</v>
      </c>
      <c r="H1419" s="581"/>
      <c r="I1419" s="639">
        <f t="shared" si="229"/>
        <v>0</v>
      </c>
      <c r="J1419" s="567"/>
      <c r="K1419" s="568"/>
    </row>
    <row r="1420" spans="1:11" x14ac:dyDescent="0.25">
      <c r="A1420" s="575">
        <v>62050</v>
      </c>
      <c r="B1420" s="576" t="s">
        <v>664</v>
      </c>
      <c r="C1420" s="582">
        <v>2000</v>
      </c>
      <c r="D1420" s="581">
        <v>1969.41</v>
      </c>
      <c r="E1420" s="901">
        <v>2000</v>
      </c>
      <c r="F1420" s="582"/>
      <c r="G1420" s="581">
        <v>2000</v>
      </c>
      <c r="H1420" s="581"/>
      <c r="I1420" s="639">
        <f t="shared" si="229"/>
        <v>0</v>
      </c>
      <c r="J1420" s="567"/>
      <c r="K1420" s="568"/>
    </row>
    <row r="1421" spans="1:11" x14ac:dyDescent="0.25">
      <c r="A1421" s="575">
        <v>62051</v>
      </c>
      <c r="B1421" s="576" t="s">
        <v>665</v>
      </c>
      <c r="C1421" s="582">
        <v>0</v>
      </c>
      <c r="D1421" s="581">
        <v>0</v>
      </c>
      <c r="E1421" s="901">
        <v>92910</v>
      </c>
      <c r="F1421" s="582"/>
      <c r="G1421" s="581">
        <v>92910</v>
      </c>
      <c r="H1421" s="581"/>
      <c r="I1421" s="639" t="e">
        <f t="shared" si="229"/>
        <v>#DIV/0!</v>
      </c>
      <c r="J1421" s="567"/>
      <c r="K1421" s="568"/>
    </row>
    <row r="1422" spans="1:11" x14ac:dyDescent="0.25">
      <c r="A1422" s="575">
        <v>62052</v>
      </c>
      <c r="B1422" s="576" t="s">
        <v>666</v>
      </c>
      <c r="C1422" s="582">
        <v>0</v>
      </c>
      <c r="D1422" s="581">
        <v>0</v>
      </c>
      <c r="E1422" s="901">
        <v>15000</v>
      </c>
      <c r="F1422" s="582"/>
      <c r="G1422" s="581">
        <v>15000</v>
      </c>
      <c r="H1422" s="581"/>
      <c r="I1422" s="639" t="e">
        <f t="shared" si="229"/>
        <v>#DIV/0!</v>
      </c>
      <c r="J1422" s="567"/>
      <c r="K1422" s="568"/>
    </row>
    <row r="1423" spans="1:11" x14ac:dyDescent="0.25">
      <c r="A1423" s="575">
        <v>62310</v>
      </c>
      <c r="B1423" s="576" t="s">
        <v>108</v>
      </c>
      <c r="C1423" s="582">
        <v>60</v>
      </c>
      <c r="D1423" s="581">
        <v>0</v>
      </c>
      <c r="E1423" s="901">
        <v>60</v>
      </c>
      <c r="F1423" s="582"/>
      <c r="G1423" s="581">
        <v>60</v>
      </c>
      <c r="H1423" s="581"/>
      <c r="I1423" s="639">
        <f t="shared" si="229"/>
        <v>0</v>
      </c>
      <c r="J1423" s="567"/>
      <c r="K1423" s="568"/>
    </row>
    <row r="1424" spans="1:11" x14ac:dyDescent="0.25">
      <c r="A1424" s="575">
        <v>62500</v>
      </c>
      <c r="B1424" s="576" t="s">
        <v>109</v>
      </c>
      <c r="C1424" s="582">
        <v>500</v>
      </c>
      <c r="D1424" s="581">
        <v>12.34</v>
      </c>
      <c r="E1424" s="901">
        <v>750</v>
      </c>
      <c r="F1424" s="582"/>
      <c r="G1424" s="581">
        <v>750</v>
      </c>
      <c r="H1424" s="581"/>
      <c r="I1424" s="639">
        <f t="shared" si="229"/>
        <v>0</v>
      </c>
      <c r="J1424" s="567"/>
      <c r="K1424" s="568"/>
    </row>
    <row r="1425" spans="1:11" x14ac:dyDescent="0.25">
      <c r="A1425" s="575">
        <v>62510</v>
      </c>
      <c r="B1425" s="576" t="s">
        <v>110</v>
      </c>
      <c r="C1425" s="582">
        <v>2000</v>
      </c>
      <c r="D1425" s="581">
        <v>596.83000000000004</v>
      </c>
      <c r="E1425" s="901">
        <v>1000</v>
      </c>
      <c r="F1425" s="582"/>
      <c r="G1425" s="581">
        <v>1000</v>
      </c>
      <c r="H1425" s="581"/>
      <c r="I1425" s="639">
        <f t="shared" si="229"/>
        <v>0</v>
      </c>
      <c r="J1425" s="567"/>
      <c r="K1425" s="568"/>
    </row>
    <row r="1426" spans="1:11" x14ac:dyDescent="0.25">
      <c r="A1426" s="575">
        <v>62530</v>
      </c>
      <c r="B1426" s="576" t="s">
        <v>171</v>
      </c>
      <c r="C1426" s="582">
        <v>1108</v>
      </c>
      <c r="D1426" s="581">
        <v>584.29999999999995</v>
      </c>
      <c r="E1426" s="901">
        <v>1200</v>
      </c>
      <c r="F1426" s="582"/>
      <c r="G1426" s="581">
        <v>1200</v>
      </c>
      <c r="H1426" s="581"/>
      <c r="I1426" s="639">
        <f t="shared" si="229"/>
        <v>0</v>
      </c>
      <c r="J1426" s="771"/>
      <c r="K1426" s="568"/>
    </row>
    <row r="1427" spans="1:11" x14ac:dyDescent="0.25">
      <c r="A1427" s="575">
        <v>62560</v>
      </c>
      <c r="B1427" s="576" t="s">
        <v>667</v>
      </c>
      <c r="C1427" s="582">
        <v>1500</v>
      </c>
      <c r="D1427" s="581">
        <v>1511.91</v>
      </c>
      <c r="E1427" s="901">
        <v>1500</v>
      </c>
      <c r="F1427" s="582"/>
      <c r="G1427" s="581">
        <v>1500</v>
      </c>
      <c r="H1427" s="581"/>
      <c r="I1427" s="639">
        <f t="shared" si="229"/>
        <v>0</v>
      </c>
      <c r="J1427" s="771"/>
      <c r="K1427" s="568"/>
    </row>
    <row r="1428" spans="1:11" x14ac:dyDescent="0.25">
      <c r="A1428" s="575">
        <v>63250</v>
      </c>
      <c r="B1428" s="576" t="s">
        <v>668</v>
      </c>
      <c r="C1428" s="582">
        <v>3200</v>
      </c>
      <c r="D1428" s="581">
        <v>1655.69</v>
      </c>
      <c r="E1428" s="901">
        <v>1500</v>
      </c>
      <c r="F1428" s="582"/>
      <c r="G1428" s="581">
        <v>1500</v>
      </c>
      <c r="H1428" s="581"/>
      <c r="I1428" s="639">
        <f t="shared" si="229"/>
        <v>0</v>
      </c>
      <c r="J1428" s="567"/>
      <c r="K1428" s="568"/>
    </row>
    <row r="1429" spans="1:11" x14ac:dyDescent="0.25">
      <c r="A1429" s="575">
        <v>63260</v>
      </c>
      <c r="B1429" s="576" t="s">
        <v>669</v>
      </c>
      <c r="C1429" s="582">
        <v>200</v>
      </c>
      <c r="D1429" s="581">
        <v>188.6</v>
      </c>
      <c r="E1429" s="901">
        <v>200</v>
      </c>
      <c r="F1429" s="582"/>
      <c r="G1429" s="581">
        <v>200</v>
      </c>
      <c r="H1429" s="581"/>
      <c r="I1429" s="639">
        <f t="shared" si="229"/>
        <v>0</v>
      </c>
      <c r="J1429" s="567"/>
      <c r="K1429" s="568"/>
    </row>
    <row r="1430" spans="1:11" x14ac:dyDescent="0.25">
      <c r="A1430" s="575">
        <v>63270</v>
      </c>
      <c r="B1430" s="576" t="s">
        <v>670</v>
      </c>
      <c r="C1430" s="582"/>
      <c r="D1430" s="581">
        <v>0</v>
      </c>
      <c r="E1430" s="901">
        <v>0</v>
      </c>
      <c r="F1430" s="582"/>
      <c r="G1430" s="581">
        <v>0</v>
      </c>
      <c r="H1430" s="581"/>
      <c r="I1430" s="639" t="e">
        <f t="shared" si="229"/>
        <v>#DIV/0!</v>
      </c>
      <c r="J1430" s="567"/>
      <c r="K1430" s="568"/>
    </row>
    <row r="1431" spans="1:11" x14ac:dyDescent="0.25">
      <c r="A1431" s="575">
        <v>63387</v>
      </c>
      <c r="B1431" s="576" t="s">
        <v>671</v>
      </c>
      <c r="C1431" s="582">
        <v>8648</v>
      </c>
      <c r="D1431" s="581">
        <v>8648</v>
      </c>
      <c r="E1431" s="901">
        <v>9000</v>
      </c>
      <c r="F1431" s="582"/>
      <c r="G1431" s="581">
        <v>9000</v>
      </c>
      <c r="H1431" s="581"/>
      <c r="I1431" s="639">
        <f t="shared" si="229"/>
        <v>0</v>
      </c>
      <c r="J1431" s="567"/>
      <c r="K1431" s="568"/>
    </row>
    <row r="1432" spans="1:11" x14ac:dyDescent="0.25">
      <c r="A1432" s="575">
        <v>63501</v>
      </c>
      <c r="B1432" s="576" t="s">
        <v>672</v>
      </c>
      <c r="C1432" s="582">
        <v>750</v>
      </c>
      <c r="D1432" s="581">
        <v>0</v>
      </c>
      <c r="E1432" s="901">
        <v>1600</v>
      </c>
      <c r="F1432" s="582"/>
      <c r="G1432" s="581">
        <v>1600</v>
      </c>
      <c r="H1432" s="581"/>
      <c r="I1432" s="639">
        <f t="shared" si="229"/>
        <v>0</v>
      </c>
      <c r="J1432" s="567"/>
      <c r="K1432" s="568"/>
    </row>
    <row r="1433" spans="1:11" x14ac:dyDescent="0.25">
      <c r="A1433" s="575">
        <v>63801</v>
      </c>
      <c r="B1433" s="576" t="s">
        <v>673</v>
      </c>
      <c r="C1433" s="582">
        <v>200</v>
      </c>
      <c r="D1433" s="581">
        <v>398.55</v>
      </c>
      <c r="E1433" s="901">
        <v>500</v>
      </c>
      <c r="F1433" s="582"/>
      <c r="G1433" s="581">
        <v>500</v>
      </c>
      <c r="H1433" s="581"/>
      <c r="I1433" s="639">
        <f t="shared" si="229"/>
        <v>0</v>
      </c>
      <c r="J1433" s="567"/>
      <c r="K1433" s="568"/>
    </row>
    <row r="1434" spans="1:11" x14ac:dyDescent="0.25">
      <c r="A1434" s="575">
        <v>63870</v>
      </c>
      <c r="B1434" s="576" t="s">
        <v>674</v>
      </c>
      <c r="C1434" s="582">
        <v>2400</v>
      </c>
      <c r="D1434" s="581">
        <v>2400</v>
      </c>
      <c r="E1434" s="901">
        <v>2400</v>
      </c>
      <c r="F1434" s="582"/>
      <c r="G1434" s="581">
        <v>2400</v>
      </c>
      <c r="H1434" s="581"/>
      <c r="I1434" s="639">
        <f t="shared" si="229"/>
        <v>0</v>
      </c>
      <c r="J1434" s="567"/>
      <c r="K1434" s="568"/>
    </row>
    <row r="1435" spans="1:11" x14ac:dyDescent="0.25">
      <c r="A1435" s="575">
        <v>64100</v>
      </c>
      <c r="B1435" s="576" t="s">
        <v>294</v>
      </c>
      <c r="C1435" s="582">
        <v>1000</v>
      </c>
      <c r="D1435" s="581">
        <v>2024.92</v>
      </c>
      <c r="E1435" s="901">
        <v>2500</v>
      </c>
      <c r="F1435" s="582"/>
      <c r="G1435" s="581">
        <v>2500</v>
      </c>
      <c r="H1435" s="581"/>
      <c r="I1435" s="639">
        <v>10</v>
      </c>
      <c r="J1435" s="567"/>
      <c r="K1435" s="568"/>
    </row>
    <row r="1436" spans="1:11" x14ac:dyDescent="0.25">
      <c r="A1436" s="575">
        <v>64500</v>
      </c>
      <c r="B1436" s="576" t="s">
        <v>675</v>
      </c>
      <c r="C1436" s="582">
        <v>2000</v>
      </c>
      <c r="D1436" s="581">
        <v>87</v>
      </c>
      <c r="E1436" s="901">
        <v>2000</v>
      </c>
      <c r="F1436" s="582"/>
      <c r="G1436" s="581">
        <v>2000</v>
      </c>
      <c r="H1436" s="581"/>
      <c r="I1436" s="639">
        <f t="shared" ref="I1436:I1444" si="230">F1436/C1436</f>
        <v>0</v>
      </c>
      <c r="J1436" s="567"/>
      <c r="K1436" s="568"/>
    </row>
    <row r="1437" spans="1:11" x14ac:dyDescent="0.25">
      <c r="A1437" s="575">
        <v>64600</v>
      </c>
      <c r="B1437" s="576" t="s">
        <v>676</v>
      </c>
      <c r="C1437" s="582">
        <v>100</v>
      </c>
      <c r="D1437" s="581">
        <v>739.56</v>
      </c>
      <c r="E1437" s="901">
        <v>400</v>
      </c>
      <c r="F1437" s="582"/>
      <c r="G1437" s="581">
        <v>400</v>
      </c>
      <c r="H1437" s="581"/>
      <c r="I1437" s="639">
        <f t="shared" si="230"/>
        <v>0</v>
      </c>
      <c r="J1437" s="567"/>
      <c r="K1437" s="568"/>
    </row>
    <row r="1438" spans="1:11" x14ac:dyDescent="0.25">
      <c r="A1438" s="575">
        <v>65500</v>
      </c>
      <c r="B1438" s="576" t="s">
        <v>212</v>
      </c>
      <c r="C1438" s="582">
        <v>1500</v>
      </c>
      <c r="D1438" s="581">
        <v>632.04999999999995</v>
      </c>
      <c r="E1438" s="901">
        <v>500</v>
      </c>
      <c r="F1438" s="582"/>
      <c r="G1438" s="581">
        <v>500</v>
      </c>
      <c r="H1438" s="581"/>
      <c r="I1438" s="639">
        <f t="shared" si="230"/>
        <v>0</v>
      </c>
      <c r="J1438" s="567"/>
      <c r="K1438" s="568"/>
    </row>
    <row r="1439" spans="1:11" x14ac:dyDescent="0.25">
      <c r="A1439" s="575">
        <v>65990</v>
      </c>
      <c r="B1439" s="576" t="s">
        <v>677</v>
      </c>
      <c r="C1439" s="582">
        <v>8750</v>
      </c>
      <c r="D1439" s="581">
        <v>3750</v>
      </c>
      <c r="E1439" s="901">
        <v>8750</v>
      </c>
      <c r="F1439" s="582"/>
      <c r="G1439" s="581">
        <v>8750</v>
      </c>
      <c r="H1439" s="581"/>
      <c r="I1439" s="639">
        <f t="shared" si="230"/>
        <v>0</v>
      </c>
      <c r="J1439" s="567"/>
      <c r="K1439" s="568"/>
    </row>
    <row r="1440" spans="1:11" x14ac:dyDescent="0.25">
      <c r="A1440" s="575">
        <v>66100</v>
      </c>
      <c r="B1440" s="576" t="s">
        <v>155</v>
      </c>
      <c r="C1440" s="582">
        <v>2269</v>
      </c>
      <c r="D1440" s="581">
        <v>2826.37</v>
      </c>
      <c r="E1440" s="901">
        <v>2826</v>
      </c>
      <c r="F1440" s="582"/>
      <c r="G1440" s="581">
        <v>2826</v>
      </c>
      <c r="H1440" s="581"/>
      <c r="I1440" s="639">
        <f t="shared" si="230"/>
        <v>0</v>
      </c>
      <c r="J1440" s="567"/>
      <c r="K1440" s="568"/>
    </row>
    <row r="1441" spans="1:11" x14ac:dyDescent="0.25">
      <c r="A1441" s="575">
        <v>68010</v>
      </c>
      <c r="B1441" s="576" t="s">
        <v>678</v>
      </c>
      <c r="C1441" s="582">
        <v>500</v>
      </c>
      <c r="D1441" s="581">
        <v>420</v>
      </c>
      <c r="E1441" s="901">
        <v>500</v>
      </c>
      <c r="F1441" s="582"/>
      <c r="G1441" s="581">
        <v>500</v>
      </c>
      <c r="H1441" s="581"/>
      <c r="I1441" s="639">
        <f t="shared" si="230"/>
        <v>0</v>
      </c>
      <c r="J1441" s="567"/>
      <c r="K1441" s="568"/>
    </row>
    <row r="1442" spans="1:11" x14ac:dyDescent="0.25">
      <c r="A1442" s="575">
        <v>69612</v>
      </c>
      <c r="B1442" s="576" t="s">
        <v>679</v>
      </c>
      <c r="C1442" s="582">
        <v>1000</v>
      </c>
      <c r="D1442" s="581">
        <v>124.39</v>
      </c>
      <c r="E1442" s="901">
        <v>1000</v>
      </c>
      <c r="F1442" s="582"/>
      <c r="G1442" s="581">
        <v>1000</v>
      </c>
      <c r="H1442" s="581"/>
      <c r="I1442" s="639">
        <f t="shared" si="230"/>
        <v>0</v>
      </c>
      <c r="J1442" s="567"/>
      <c r="K1442" s="568"/>
    </row>
    <row r="1443" spans="1:11" x14ac:dyDescent="0.25">
      <c r="A1443" s="575">
        <v>69999</v>
      </c>
      <c r="B1443" s="576" t="s">
        <v>355</v>
      </c>
      <c r="C1443" s="582">
        <v>0</v>
      </c>
      <c r="D1443" s="581">
        <v>0</v>
      </c>
      <c r="E1443" s="901">
        <v>0</v>
      </c>
      <c r="F1443" s="582"/>
      <c r="G1443" s="581">
        <v>0</v>
      </c>
      <c r="H1443" s="581"/>
      <c r="I1443" s="639" t="e">
        <f t="shared" si="230"/>
        <v>#DIV/0!</v>
      </c>
      <c r="J1443" s="567"/>
      <c r="K1443" s="568"/>
    </row>
    <row r="1444" spans="1:11" x14ac:dyDescent="0.25">
      <c r="A1444" s="576"/>
      <c r="B1444" s="583" t="s">
        <v>507</v>
      </c>
      <c r="C1444" s="589">
        <f t="shared" ref="C1444:H1444" si="231">SUM(C1397:C1443)</f>
        <v>97620</v>
      </c>
      <c r="D1444" s="587">
        <f t="shared" si="231"/>
        <v>79470.920000000013</v>
      </c>
      <c r="E1444" s="953">
        <f t="shared" si="231"/>
        <v>185511</v>
      </c>
      <c r="F1444" s="589">
        <f t="shared" si="231"/>
        <v>0</v>
      </c>
      <c r="G1444" s="587">
        <f t="shared" si="231"/>
        <v>185510.70500000002</v>
      </c>
      <c r="H1444" s="587">
        <f t="shared" si="231"/>
        <v>0</v>
      </c>
      <c r="I1444" s="639">
        <f t="shared" si="230"/>
        <v>0</v>
      </c>
      <c r="J1444" s="567"/>
      <c r="K1444" s="568"/>
    </row>
    <row r="1445" spans="1:11" s="569" customFormat="1" x14ac:dyDescent="0.25">
      <c r="A1445" s="590"/>
      <c r="B1445" s="772"/>
      <c r="C1445" s="564"/>
      <c r="D1445" s="576"/>
      <c r="E1445" s="900"/>
      <c r="F1445" s="564"/>
      <c r="G1445" s="581"/>
      <c r="H1445" s="581"/>
      <c r="I1445" s="581"/>
      <c r="J1445" s="567"/>
      <c r="K1445" s="568"/>
    </row>
    <row r="1446" spans="1:11" x14ac:dyDescent="0.25">
      <c r="A1446" s="687" t="s">
        <v>680</v>
      </c>
      <c r="B1446" s="624" t="s">
        <v>681</v>
      </c>
      <c r="C1446" s="630">
        <v>2017</v>
      </c>
      <c r="D1446" s="629" t="s">
        <v>1236</v>
      </c>
      <c r="E1446" s="629">
        <v>2018</v>
      </c>
      <c r="F1446" s="630" t="s">
        <v>1236</v>
      </c>
      <c r="G1446" s="631" t="s">
        <v>4</v>
      </c>
      <c r="H1446" s="631">
        <v>2019</v>
      </c>
      <c r="I1446" s="627" t="s">
        <v>5</v>
      </c>
      <c r="J1446" s="567"/>
      <c r="K1446" s="568"/>
    </row>
    <row r="1447" spans="1:11" x14ac:dyDescent="0.25">
      <c r="A1447" s="590"/>
      <c r="B1447" s="576" t="s">
        <v>93</v>
      </c>
      <c r="C1447" s="630" t="s">
        <v>6</v>
      </c>
      <c r="D1447" s="634">
        <v>43069</v>
      </c>
      <c r="E1447" s="629" t="s">
        <v>6</v>
      </c>
      <c r="F1447" s="634">
        <v>43131</v>
      </c>
      <c r="G1447" s="635" t="s">
        <v>1131</v>
      </c>
      <c r="H1447" s="635" t="s">
        <v>6</v>
      </c>
      <c r="I1447" s="627" t="s">
        <v>92</v>
      </c>
      <c r="J1447" s="567"/>
      <c r="K1447" s="568"/>
    </row>
    <row r="1448" spans="1:11" x14ac:dyDescent="0.25">
      <c r="A1448" s="575">
        <v>40100</v>
      </c>
      <c r="B1448" s="576" t="s">
        <v>408</v>
      </c>
      <c r="C1448" s="582">
        <v>15705</v>
      </c>
      <c r="D1448" s="582">
        <f>22062.56+892.72</f>
        <v>22955.280000000002</v>
      </c>
      <c r="E1448" s="961">
        <v>32110</v>
      </c>
      <c r="F1448" s="582"/>
      <c r="G1448" s="582">
        <v>32110</v>
      </c>
      <c r="H1448" s="582"/>
      <c r="I1448" s="639">
        <f t="shared" ref="I1448:I1467" si="232">F1448/C1448</f>
        <v>0</v>
      </c>
      <c r="J1448" s="567"/>
      <c r="K1448" s="568"/>
    </row>
    <row r="1449" spans="1:11" x14ac:dyDescent="0.25">
      <c r="A1449" s="575">
        <v>40110</v>
      </c>
      <c r="B1449" s="576" t="s">
        <v>654</v>
      </c>
      <c r="C1449" s="582">
        <v>14851</v>
      </c>
      <c r="D1449" s="582">
        <f>13584.7+996.26</f>
        <v>14580.960000000001</v>
      </c>
      <c r="E1449" s="961">
        <v>15297</v>
      </c>
      <c r="F1449" s="582"/>
      <c r="G1449" s="582">
        <v>15297</v>
      </c>
      <c r="H1449" s="582"/>
      <c r="I1449" s="639">
        <f t="shared" si="232"/>
        <v>0</v>
      </c>
      <c r="J1449" s="567"/>
      <c r="K1449" s="568"/>
    </row>
    <row r="1450" spans="1:11" x14ac:dyDescent="0.25">
      <c r="A1450" s="575">
        <v>41410</v>
      </c>
      <c r="B1450" s="576" t="s">
        <v>478</v>
      </c>
      <c r="C1450" s="582">
        <v>112</v>
      </c>
      <c r="D1450" s="582">
        <v>94.81</v>
      </c>
      <c r="E1450" s="961">
        <v>142</v>
      </c>
      <c r="F1450" s="582"/>
      <c r="G1450" s="582">
        <v>142</v>
      </c>
      <c r="H1450" s="582"/>
      <c r="I1450" s="639">
        <f t="shared" si="232"/>
        <v>0</v>
      </c>
      <c r="J1450" s="567"/>
      <c r="K1450" s="568"/>
    </row>
    <row r="1451" spans="1:11" x14ac:dyDescent="0.25">
      <c r="A1451" s="575">
        <v>41420</v>
      </c>
      <c r="B1451" s="576" t="s">
        <v>655</v>
      </c>
      <c r="C1451" s="582">
        <v>1146</v>
      </c>
      <c r="D1451" s="582">
        <v>1146</v>
      </c>
      <c r="E1451" s="961">
        <v>2053</v>
      </c>
      <c r="F1451" s="582"/>
      <c r="G1451" s="582">
        <v>2053</v>
      </c>
      <c r="H1451" s="582"/>
      <c r="I1451" s="639">
        <f t="shared" si="232"/>
        <v>0</v>
      </c>
      <c r="J1451" s="567"/>
      <c r="K1451" s="568"/>
    </row>
    <row r="1452" spans="1:11" x14ac:dyDescent="0.25">
      <c r="A1452" s="575">
        <v>41430</v>
      </c>
      <c r="B1452" s="576" t="s">
        <v>98</v>
      </c>
      <c r="C1452" s="582">
        <v>10577</v>
      </c>
      <c r="D1452" s="582">
        <v>3547.49</v>
      </c>
      <c r="E1452" s="961">
        <v>11890</v>
      </c>
      <c r="F1452" s="582"/>
      <c r="G1452" s="582">
        <v>11890</v>
      </c>
      <c r="H1452" s="582"/>
      <c r="I1452" s="639">
        <f t="shared" si="232"/>
        <v>0</v>
      </c>
      <c r="J1452" s="567"/>
      <c r="K1452" s="568"/>
    </row>
    <row r="1453" spans="1:11" x14ac:dyDescent="0.25">
      <c r="A1453" s="575">
        <v>41440</v>
      </c>
      <c r="B1453" s="576" t="s">
        <v>100</v>
      </c>
      <c r="C1453" s="582">
        <v>1894</v>
      </c>
      <c r="D1453" s="582">
        <v>1959.51</v>
      </c>
      <c r="E1453" s="961">
        <v>2940</v>
      </c>
      <c r="F1453" s="582"/>
      <c r="G1453" s="582">
        <v>2940</v>
      </c>
      <c r="H1453" s="582"/>
      <c r="I1453" s="639">
        <f t="shared" si="232"/>
        <v>0</v>
      </c>
      <c r="J1453" s="567"/>
      <c r="K1453" s="568"/>
    </row>
    <row r="1454" spans="1:11" x14ac:dyDescent="0.25">
      <c r="A1454" s="575">
        <v>41450</v>
      </c>
      <c r="B1454" s="576" t="s">
        <v>101</v>
      </c>
      <c r="C1454" s="582">
        <v>443</v>
      </c>
      <c r="D1454" s="582">
        <v>458.3</v>
      </c>
      <c r="E1454" s="961">
        <v>687</v>
      </c>
      <c r="F1454" s="582"/>
      <c r="G1454" s="582">
        <v>687</v>
      </c>
      <c r="H1454" s="582"/>
      <c r="I1454" s="639">
        <f t="shared" si="232"/>
        <v>0</v>
      </c>
      <c r="J1454" s="567"/>
      <c r="K1454" s="568"/>
    </row>
    <row r="1455" spans="1:11" x14ac:dyDescent="0.25">
      <c r="A1455" s="575">
        <v>41470</v>
      </c>
      <c r="B1455" s="576" t="s">
        <v>102</v>
      </c>
      <c r="C1455" s="582">
        <v>24</v>
      </c>
      <c r="D1455" s="582">
        <v>8.75</v>
      </c>
      <c r="E1455" s="961">
        <v>24</v>
      </c>
      <c r="F1455" s="582"/>
      <c r="G1455" s="582">
        <v>24</v>
      </c>
      <c r="H1455" s="582"/>
      <c r="I1455" s="639">
        <f t="shared" si="232"/>
        <v>0</v>
      </c>
      <c r="J1455" s="567"/>
      <c r="K1455" s="568"/>
    </row>
    <row r="1456" spans="1:11" x14ac:dyDescent="0.25">
      <c r="A1456" s="575">
        <v>54110</v>
      </c>
      <c r="B1456" s="576" t="s">
        <v>682</v>
      </c>
      <c r="C1456" s="582">
        <v>100</v>
      </c>
      <c r="D1456" s="582">
        <v>614.75</v>
      </c>
      <c r="E1456" s="961">
        <v>100</v>
      </c>
      <c r="F1456" s="611"/>
      <c r="G1456" s="611">
        <v>100</v>
      </c>
      <c r="H1456" s="611"/>
      <c r="I1456" s="639">
        <f t="shared" si="232"/>
        <v>0</v>
      </c>
      <c r="J1456" s="567"/>
      <c r="K1456" s="568"/>
    </row>
    <row r="1457" spans="1:11" x14ac:dyDescent="0.25">
      <c r="A1457" s="575">
        <v>54212</v>
      </c>
      <c r="B1457" s="576" t="s">
        <v>289</v>
      </c>
      <c r="C1457" s="582">
        <v>50</v>
      </c>
      <c r="D1457" s="582">
        <v>480</v>
      </c>
      <c r="E1457" s="961">
        <v>500</v>
      </c>
      <c r="F1457" s="611"/>
      <c r="G1457" s="611">
        <v>500</v>
      </c>
      <c r="H1457" s="611"/>
      <c r="I1457" s="639">
        <f t="shared" si="232"/>
        <v>0</v>
      </c>
      <c r="J1457" s="567"/>
      <c r="K1457" s="568"/>
    </row>
    <row r="1458" spans="1:11" x14ac:dyDescent="0.25">
      <c r="A1458" s="575">
        <v>60000</v>
      </c>
      <c r="B1458" s="576" t="s">
        <v>683</v>
      </c>
      <c r="C1458" s="582">
        <v>0</v>
      </c>
      <c r="D1458" s="582">
        <v>0</v>
      </c>
      <c r="E1458" s="961">
        <v>200</v>
      </c>
      <c r="F1458" s="611"/>
      <c r="G1458" s="611">
        <v>200</v>
      </c>
      <c r="H1458" s="611"/>
      <c r="I1458" s="639" t="e">
        <f t="shared" si="232"/>
        <v>#DIV/0!</v>
      </c>
      <c r="J1458" s="567"/>
      <c r="K1458" s="568"/>
    </row>
    <row r="1459" spans="1:11" x14ac:dyDescent="0.25">
      <c r="A1459" s="575">
        <v>62500</v>
      </c>
      <c r="B1459" s="576" t="s">
        <v>109</v>
      </c>
      <c r="C1459" s="582">
        <v>1000</v>
      </c>
      <c r="D1459" s="582">
        <v>310.24</v>
      </c>
      <c r="E1459" s="961">
        <v>500</v>
      </c>
      <c r="F1459" s="611"/>
      <c r="G1459" s="611">
        <v>500</v>
      </c>
      <c r="H1459" s="611"/>
      <c r="I1459" s="639">
        <f t="shared" si="232"/>
        <v>0</v>
      </c>
      <c r="J1459" s="567"/>
      <c r="K1459" s="773"/>
    </row>
    <row r="1460" spans="1:11" x14ac:dyDescent="0.25">
      <c r="A1460" s="575">
        <v>62510</v>
      </c>
      <c r="B1460" s="576" t="s">
        <v>110</v>
      </c>
      <c r="C1460" s="582">
        <v>250</v>
      </c>
      <c r="D1460" s="582">
        <v>504.93</v>
      </c>
      <c r="E1460" s="961">
        <v>300</v>
      </c>
      <c r="F1460" s="611"/>
      <c r="G1460" s="611">
        <v>300</v>
      </c>
      <c r="H1460" s="611"/>
      <c r="I1460" s="639">
        <f t="shared" si="232"/>
        <v>0</v>
      </c>
      <c r="J1460" s="567"/>
      <c r="K1460" s="773"/>
    </row>
    <row r="1461" spans="1:11" x14ac:dyDescent="0.25">
      <c r="A1461" s="575">
        <v>62530</v>
      </c>
      <c r="B1461" s="576" t="s">
        <v>171</v>
      </c>
      <c r="C1461" s="582">
        <v>300</v>
      </c>
      <c r="D1461" s="582">
        <v>373.98</v>
      </c>
      <c r="E1461" s="961">
        <v>500</v>
      </c>
      <c r="F1461" s="611"/>
      <c r="G1461" s="611">
        <v>500</v>
      </c>
      <c r="H1461" s="611"/>
      <c r="I1461" s="639">
        <f t="shared" si="232"/>
        <v>0</v>
      </c>
      <c r="J1461" s="567"/>
      <c r="K1461" s="568"/>
    </row>
    <row r="1462" spans="1:11" x14ac:dyDescent="0.25">
      <c r="A1462" s="575">
        <v>62550</v>
      </c>
      <c r="B1462" s="576" t="s">
        <v>184</v>
      </c>
      <c r="C1462" s="582">
        <v>150</v>
      </c>
      <c r="D1462" s="582">
        <v>0</v>
      </c>
      <c r="E1462" s="961">
        <v>300</v>
      </c>
      <c r="F1462" s="611"/>
      <c r="G1462" s="611">
        <v>300</v>
      </c>
      <c r="H1462" s="611"/>
      <c r="I1462" s="639">
        <f t="shared" si="232"/>
        <v>0</v>
      </c>
      <c r="J1462" s="567"/>
      <c r="K1462" s="568"/>
    </row>
    <row r="1463" spans="1:11" x14ac:dyDescent="0.25">
      <c r="A1463" s="575">
        <v>63250</v>
      </c>
      <c r="B1463" s="576" t="s">
        <v>668</v>
      </c>
      <c r="C1463" s="582"/>
      <c r="D1463" s="582">
        <v>150</v>
      </c>
      <c r="E1463" s="961">
        <v>1000</v>
      </c>
      <c r="F1463" s="611"/>
      <c r="G1463" s="611">
        <v>1000</v>
      </c>
      <c r="H1463" s="611"/>
      <c r="I1463" s="639"/>
      <c r="J1463" s="567"/>
      <c r="K1463" s="568"/>
    </row>
    <row r="1464" spans="1:11" x14ac:dyDescent="0.25">
      <c r="A1464" s="575">
        <v>65500</v>
      </c>
      <c r="B1464" s="576" t="s">
        <v>684</v>
      </c>
      <c r="C1464" s="582">
        <v>20</v>
      </c>
      <c r="D1464" s="582">
        <v>802.27</v>
      </c>
      <c r="E1464" s="961">
        <v>1000</v>
      </c>
      <c r="F1464" s="611"/>
      <c r="G1464" s="611">
        <v>1000</v>
      </c>
      <c r="H1464" s="611"/>
      <c r="I1464" s="639">
        <f t="shared" si="232"/>
        <v>0</v>
      </c>
      <c r="J1464" s="567"/>
      <c r="K1464" s="568"/>
    </row>
    <row r="1465" spans="1:11" x14ac:dyDescent="0.25">
      <c r="A1465" s="575">
        <v>65990</v>
      </c>
      <c r="B1465" s="576" t="s">
        <v>685</v>
      </c>
      <c r="C1465" s="582">
        <v>8750</v>
      </c>
      <c r="D1465" s="582">
        <v>7500</v>
      </c>
      <c r="E1465" s="961">
        <v>8750</v>
      </c>
      <c r="F1465" s="611"/>
      <c r="G1465" s="611">
        <v>8750</v>
      </c>
      <c r="H1465" s="611"/>
      <c r="I1465" s="639">
        <f t="shared" si="232"/>
        <v>0</v>
      </c>
      <c r="J1465" s="567"/>
      <c r="K1465" s="568"/>
    </row>
    <row r="1466" spans="1:11" x14ac:dyDescent="0.25">
      <c r="A1466" s="575">
        <v>68386</v>
      </c>
      <c r="B1466" s="576" t="s">
        <v>652</v>
      </c>
      <c r="C1466" s="582">
        <v>0</v>
      </c>
      <c r="D1466" s="582">
        <v>0</v>
      </c>
      <c r="E1466" s="961">
        <v>0</v>
      </c>
      <c r="F1466" s="611"/>
      <c r="G1466" s="611">
        <v>0</v>
      </c>
      <c r="H1466" s="611"/>
      <c r="I1466" s="639" t="e">
        <f t="shared" si="232"/>
        <v>#DIV/0!</v>
      </c>
      <c r="J1466" s="567"/>
      <c r="K1466" s="568"/>
    </row>
    <row r="1467" spans="1:11" x14ac:dyDescent="0.25">
      <c r="A1467" s="598"/>
      <c r="B1467" s="583" t="s">
        <v>507</v>
      </c>
      <c r="C1467" s="589">
        <f>SUM(C1448:C1466)</f>
        <v>55372</v>
      </c>
      <c r="D1467" s="589">
        <f t="shared" ref="D1467:H1467" si="233">SUM(D1448:D1466)</f>
        <v>55487.270000000004</v>
      </c>
      <c r="E1467" s="962">
        <f>SUM(E1448:E1466)</f>
        <v>78293</v>
      </c>
      <c r="F1467" s="589">
        <f t="shared" si="233"/>
        <v>0</v>
      </c>
      <c r="G1467" s="589">
        <f>SUM(G1448:G1466)</f>
        <v>78293</v>
      </c>
      <c r="H1467" s="589">
        <f t="shared" si="233"/>
        <v>0</v>
      </c>
      <c r="I1467" s="639">
        <f t="shared" si="232"/>
        <v>0</v>
      </c>
      <c r="J1467" s="567"/>
      <c r="K1467" s="700"/>
    </row>
    <row r="1468" spans="1:11" s="569" customFormat="1" x14ac:dyDescent="0.25">
      <c r="A1468" s="560"/>
      <c r="B1468" s="576"/>
      <c r="C1468" s="564"/>
      <c r="D1468" s="576"/>
      <c r="E1468" s="576"/>
      <c r="F1468" s="564"/>
      <c r="G1468" s="581"/>
      <c r="H1468" s="581"/>
      <c r="I1468" s="581"/>
      <c r="J1468" s="567"/>
      <c r="K1468" s="568"/>
    </row>
    <row r="1469" spans="1:11" x14ac:dyDescent="0.25">
      <c r="A1469" s="764" t="s">
        <v>653</v>
      </c>
      <c r="B1469" s="774" t="s">
        <v>686</v>
      </c>
      <c r="C1469" s="630">
        <v>2017</v>
      </c>
      <c r="D1469" s="629" t="s">
        <v>1236</v>
      </c>
      <c r="E1469" s="629">
        <v>2018</v>
      </c>
      <c r="F1469" s="630" t="s">
        <v>1236</v>
      </c>
      <c r="G1469" s="631" t="s">
        <v>4</v>
      </c>
      <c r="H1469" s="631">
        <v>2019</v>
      </c>
      <c r="I1469" s="627" t="s">
        <v>5</v>
      </c>
      <c r="J1469" s="567"/>
      <c r="K1469" s="568"/>
    </row>
    <row r="1470" spans="1:11" x14ac:dyDescent="0.25">
      <c r="A1470" s="576"/>
      <c r="B1470" s="772" t="s">
        <v>93</v>
      </c>
      <c r="C1470" s="630" t="s">
        <v>6</v>
      </c>
      <c r="D1470" s="634">
        <v>43069</v>
      </c>
      <c r="E1470" s="629" t="s">
        <v>6</v>
      </c>
      <c r="F1470" s="634">
        <v>43131</v>
      </c>
      <c r="G1470" s="635" t="s">
        <v>1131</v>
      </c>
      <c r="H1470" s="635" t="s">
        <v>6</v>
      </c>
      <c r="I1470" s="627" t="s">
        <v>92</v>
      </c>
      <c r="J1470" s="567"/>
      <c r="K1470" s="568"/>
    </row>
    <row r="1471" spans="1:11" x14ac:dyDescent="0.25">
      <c r="A1471" s="575">
        <v>69425</v>
      </c>
      <c r="B1471" s="772" t="s">
        <v>551</v>
      </c>
      <c r="C1471" s="582">
        <v>0</v>
      </c>
      <c r="D1471" s="582"/>
      <c r="E1471" s="582">
        <v>0.01</v>
      </c>
      <c r="F1471" s="582">
        <v>0</v>
      </c>
      <c r="G1471" s="582">
        <v>0</v>
      </c>
      <c r="H1471" s="582">
        <v>0</v>
      </c>
      <c r="I1471" s="639" t="e">
        <f>F1471/C1471</f>
        <v>#DIV/0!</v>
      </c>
      <c r="J1471" s="567"/>
      <c r="K1471" s="568"/>
    </row>
    <row r="1472" spans="1:11" x14ac:dyDescent="0.25">
      <c r="A1472" s="575">
        <v>9000</v>
      </c>
      <c r="B1472" s="772" t="s">
        <v>687</v>
      </c>
      <c r="C1472" s="582">
        <v>0</v>
      </c>
      <c r="D1472" s="582"/>
      <c r="E1472" s="582">
        <v>0.01</v>
      </c>
      <c r="F1472" s="582">
        <v>0</v>
      </c>
      <c r="G1472" s="582">
        <v>0</v>
      </c>
      <c r="H1472" s="582">
        <v>0</v>
      </c>
      <c r="I1472" s="639" t="e">
        <f>F1472/C1472</f>
        <v>#DIV/0!</v>
      </c>
      <c r="J1472" s="567"/>
      <c r="K1472" s="568"/>
    </row>
    <row r="1473" spans="1:11" x14ac:dyDescent="0.25">
      <c r="A1473" s="590"/>
      <c r="B1473" s="761" t="s">
        <v>507</v>
      </c>
      <c r="C1473" s="589">
        <f>SUM(C1471:C1472)</f>
        <v>0</v>
      </c>
      <c r="D1473" s="589"/>
      <c r="E1473" s="589">
        <f>SUM(E1471:E1472)</f>
        <v>0.02</v>
      </c>
      <c r="F1473" s="589">
        <f t="shared" ref="F1473:H1473" si="234">SUM(F1471:F1472)</f>
        <v>0</v>
      </c>
      <c r="G1473" s="589">
        <f>SUM(G1471:G1472)</f>
        <v>0</v>
      </c>
      <c r="H1473" s="589">
        <f t="shared" si="234"/>
        <v>0</v>
      </c>
      <c r="I1473" s="639" t="e">
        <f>F1473/C1473</f>
        <v>#DIV/0!</v>
      </c>
      <c r="J1473" s="567"/>
      <c r="K1473" s="568"/>
    </row>
    <row r="1474" spans="1:11" x14ac:dyDescent="0.25">
      <c r="A1474" s="590"/>
      <c r="B1474" s="760" t="s">
        <v>116</v>
      </c>
      <c r="C1474" s="579">
        <f>C1473+C1467+C1444</f>
        <v>152992</v>
      </c>
      <c r="D1474" s="579">
        <f t="shared" ref="D1474:H1474" si="235">D1473+D1467+D1444</f>
        <v>134958.19</v>
      </c>
      <c r="E1474" s="579">
        <f>E1473+E1467+E1444</f>
        <v>263804.02</v>
      </c>
      <c r="F1474" s="579">
        <f t="shared" si="235"/>
        <v>0</v>
      </c>
      <c r="G1474" s="579">
        <f>G1473+G1467+G1444</f>
        <v>263803.70500000002</v>
      </c>
      <c r="H1474" s="579">
        <f t="shared" si="235"/>
        <v>0</v>
      </c>
      <c r="I1474" s="639">
        <f>F1474/C1474</f>
        <v>0</v>
      </c>
      <c r="J1474" s="567"/>
      <c r="K1474" s="568"/>
    </row>
    <row r="1475" spans="1:11" x14ac:dyDescent="0.25">
      <c r="A1475" s="590"/>
      <c r="B1475" s="761"/>
      <c r="C1475" s="564"/>
      <c r="D1475" s="581"/>
      <c r="E1475" s="581"/>
      <c r="F1475" s="582"/>
      <c r="G1475" s="581"/>
      <c r="H1475" s="581"/>
      <c r="I1475" s="581"/>
      <c r="J1475" s="567"/>
      <c r="K1475" s="568"/>
    </row>
    <row r="1476" spans="1:11" x14ac:dyDescent="0.25">
      <c r="A1476" s="590"/>
      <c r="B1476" s="760" t="s">
        <v>449</v>
      </c>
      <c r="C1476" s="565">
        <f t="shared" ref="C1476:H1476" si="236">C1392</f>
        <v>151100</v>
      </c>
      <c r="D1476" s="579">
        <f t="shared" si="236"/>
        <v>107009.04</v>
      </c>
      <c r="E1476" s="579">
        <f t="shared" si="236"/>
        <v>237600.03</v>
      </c>
      <c r="F1476" s="579">
        <f t="shared" si="236"/>
        <v>0</v>
      </c>
      <c r="G1476" s="579">
        <f t="shared" si="236"/>
        <v>237600</v>
      </c>
      <c r="H1476" s="579">
        <f t="shared" si="236"/>
        <v>0</v>
      </c>
      <c r="I1476" s="639">
        <f t="shared" ref="I1476:I1481" si="237">F1476/C1476</f>
        <v>0</v>
      </c>
      <c r="J1476" s="567"/>
      <c r="K1476" s="568"/>
    </row>
    <row r="1477" spans="1:11" x14ac:dyDescent="0.25">
      <c r="A1477" s="560"/>
      <c r="B1477" s="760" t="s">
        <v>613</v>
      </c>
      <c r="C1477" s="565">
        <f>C1474</f>
        <v>152992</v>
      </c>
      <c r="D1477" s="579">
        <f t="shared" ref="D1477:H1477" si="238">D1474</f>
        <v>134958.19</v>
      </c>
      <c r="E1477" s="579">
        <f>E1474</f>
        <v>263804.02</v>
      </c>
      <c r="F1477" s="579">
        <f t="shared" si="238"/>
        <v>0</v>
      </c>
      <c r="G1477" s="579">
        <f>G1474</f>
        <v>263803.70500000002</v>
      </c>
      <c r="H1477" s="579">
        <f t="shared" si="238"/>
        <v>0</v>
      </c>
      <c r="I1477" s="639">
        <f t="shared" si="237"/>
        <v>0</v>
      </c>
      <c r="J1477" s="567"/>
      <c r="K1477" s="568"/>
    </row>
    <row r="1478" spans="1:11" x14ac:dyDescent="0.25">
      <c r="A1478" s="560"/>
      <c r="B1478" s="760" t="s">
        <v>450</v>
      </c>
      <c r="C1478" s="616">
        <f>C1476-C1477</f>
        <v>-1892</v>
      </c>
      <c r="D1478" s="616">
        <f t="shared" ref="D1478:H1478" si="239">D1476-D1477</f>
        <v>-27949.150000000009</v>
      </c>
      <c r="E1478" s="616">
        <f>E1476-E1477</f>
        <v>-26203.99000000002</v>
      </c>
      <c r="F1478" s="775">
        <f t="shared" si="239"/>
        <v>0</v>
      </c>
      <c r="G1478" s="616">
        <f>G1476-G1477</f>
        <v>-26203.705000000016</v>
      </c>
      <c r="H1478" s="616">
        <f t="shared" si="239"/>
        <v>0</v>
      </c>
      <c r="I1478" s="639">
        <f t="shared" si="237"/>
        <v>0</v>
      </c>
      <c r="J1478" s="567"/>
      <c r="K1478" s="568"/>
    </row>
    <row r="1479" spans="1:11" x14ac:dyDescent="0.25">
      <c r="A1479" s="560"/>
      <c r="B1479" s="760" t="s">
        <v>451</v>
      </c>
      <c r="C1479" s="616">
        <f t="shared" ref="C1479:H1479" si="240">C1370+C1478</f>
        <v>4109</v>
      </c>
      <c r="D1479" s="616">
        <f t="shared" si="240"/>
        <v>-27949.150000000009</v>
      </c>
      <c r="E1479" s="616">
        <f t="shared" si="240"/>
        <v>-92129.99000000002</v>
      </c>
      <c r="F1479" s="775">
        <f t="shared" si="240"/>
        <v>0</v>
      </c>
      <c r="G1479" s="616">
        <f t="shared" si="240"/>
        <v>-118333.69500000004</v>
      </c>
      <c r="H1479" s="616">
        <f t="shared" si="240"/>
        <v>0</v>
      </c>
      <c r="I1479" s="639">
        <f t="shared" si="237"/>
        <v>0</v>
      </c>
      <c r="J1479" s="567"/>
      <c r="K1479" s="568"/>
    </row>
    <row r="1480" spans="1:11" x14ac:dyDescent="0.25">
      <c r="A1480" s="560"/>
      <c r="B1480" s="760" t="s">
        <v>370</v>
      </c>
      <c r="C1480" s="674">
        <v>0</v>
      </c>
      <c r="D1480" s="616">
        <v>0</v>
      </c>
      <c r="E1480" s="616">
        <v>0</v>
      </c>
      <c r="F1480" s="616">
        <v>0</v>
      </c>
      <c r="G1480" s="616">
        <v>0</v>
      </c>
      <c r="H1480" s="616">
        <v>0</v>
      </c>
      <c r="I1480" s="639" t="e">
        <f t="shared" si="237"/>
        <v>#DIV/0!</v>
      </c>
      <c r="J1480" s="567"/>
      <c r="K1480" s="568"/>
    </row>
    <row r="1481" spans="1:11" x14ac:dyDescent="0.25">
      <c r="A1481" s="560"/>
      <c r="B1481" s="760" t="s">
        <v>465</v>
      </c>
      <c r="C1481" s="616">
        <f>C1479-C1480</f>
        <v>4109</v>
      </c>
      <c r="D1481" s="616">
        <f t="shared" ref="D1481:H1481" si="241">D1479-D1480</f>
        <v>-27949.150000000009</v>
      </c>
      <c r="E1481" s="616">
        <f>E1479-E1480</f>
        <v>-92129.99000000002</v>
      </c>
      <c r="F1481" s="616">
        <f t="shared" si="241"/>
        <v>0</v>
      </c>
      <c r="G1481" s="616">
        <f>G1479-G1480</f>
        <v>-118333.69500000004</v>
      </c>
      <c r="H1481" s="616">
        <f t="shared" si="241"/>
        <v>0</v>
      </c>
      <c r="I1481" s="639">
        <f t="shared" si="237"/>
        <v>0</v>
      </c>
      <c r="J1481" s="567"/>
      <c r="K1481" s="568"/>
    </row>
    <row r="1482" spans="1:11" s="569" customFormat="1" x14ac:dyDescent="0.25">
      <c r="A1482" s="560"/>
      <c r="B1482" s="760"/>
      <c r="C1482" s="564"/>
      <c r="D1482" s="616"/>
      <c r="E1482" s="611"/>
      <c r="F1482" s="564"/>
      <c r="G1482" s="581"/>
      <c r="H1482" s="581"/>
      <c r="I1482" s="581"/>
      <c r="J1482" s="567"/>
      <c r="K1482" s="568"/>
    </row>
    <row r="1483" spans="1:11" x14ac:dyDescent="0.25">
      <c r="A1483" s="686">
        <v>310</v>
      </c>
      <c r="B1483" s="628" t="s">
        <v>688</v>
      </c>
      <c r="C1483" s="630">
        <v>2017</v>
      </c>
      <c r="D1483" s="629" t="s">
        <v>1236</v>
      </c>
      <c r="E1483" s="629">
        <v>2018</v>
      </c>
      <c r="F1483" s="630" t="s">
        <v>1236</v>
      </c>
      <c r="G1483" s="631" t="s">
        <v>4</v>
      </c>
      <c r="H1483" s="631">
        <v>2019</v>
      </c>
      <c r="I1483" s="627" t="s">
        <v>5</v>
      </c>
      <c r="J1483" s="567"/>
      <c r="K1483" s="568"/>
    </row>
    <row r="1484" spans="1:11" x14ac:dyDescent="0.25">
      <c r="A1484" s="560"/>
      <c r="B1484" s="576" t="s">
        <v>93</v>
      </c>
      <c r="C1484" s="630" t="s">
        <v>6</v>
      </c>
      <c r="D1484" s="634">
        <v>43069</v>
      </c>
      <c r="E1484" s="629" t="s">
        <v>6</v>
      </c>
      <c r="F1484" s="634">
        <v>43131</v>
      </c>
      <c r="G1484" s="635" t="s">
        <v>1131</v>
      </c>
      <c r="H1484" s="635" t="s">
        <v>6</v>
      </c>
      <c r="I1484" s="627" t="s">
        <v>7</v>
      </c>
      <c r="J1484" s="567"/>
      <c r="K1484" s="568"/>
    </row>
    <row r="1485" spans="1:11" x14ac:dyDescent="0.25">
      <c r="A1485" s="560"/>
      <c r="B1485" s="576"/>
      <c r="C1485" s="578"/>
      <c r="D1485" s="577"/>
      <c r="E1485" s="577"/>
      <c r="F1485" s="564"/>
      <c r="G1485" s="581"/>
      <c r="H1485" s="581"/>
      <c r="I1485" s="581"/>
      <c r="J1485" s="567"/>
      <c r="K1485" s="568"/>
    </row>
    <row r="1486" spans="1:11" x14ac:dyDescent="0.25">
      <c r="A1486" s="561" t="s">
        <v>689</v>
      </c>
      <c r="B1486" s="576"/>
      <c r="C1486" s="579">
        <v>118776</v>
      </c>
      <c r="D1486" s="579"/>
      <c r="E1486" s="579">
        <v>118776</v>
      </c>
      <c r="F1486" s="579"/>
      <c r="G1486" s="579">
        <v>118776</v>
      </c>
      <c r="H1486" s="579"/>
      <c r="I1486" s="581"/>
      <c r="J1486" s="567"/>
      <c r="K1486" s="568"/>
    </row>
    <row r="1487" spans="1:11" x14ac:dyDescent="0.25">
      <c r="A1487" s="560"/>
      <c r="B1487" s="576" t="s">
        <v>519</v>
      </c>
      <c r="C1487" s="582"/>
      <c r="D1487" s="582"/>
      <c r="E1487" s="582"/>
      <c r="F1487" s="582"/>
      <c r="G1487" s="582"/>
      <c r="H1487" s="582"/>
      <c r="I1487" s="581"/>
      <c r="J1487" s="567"/>
      <c r="K1487" s="568"/>
    </row>
    <row r="1488" spans="1:11" x14ac:dyDescent="0.25">
      <c r="A1488" s="580" t="s">
        <v>690</v>
      </c>
      <c r="B1488" s="561" t="s">
        <v>343</v>
      </c>
      <c r="C1488" s="582"/>
      <c r="D1488" s="582"/>
      <c r="E1488" s="582"/>
      <c r="F1488" s="582"/>
      <c r="G1488" s="582"/>
      <c r="H1488" s="582"/>
      <c r="I1488" s="581"/>
      <c r="J1488" s="567"/>
      <c r="K1488" s="568"/>
    </row>
    <row r="1489" spans="1:11" x14ac:dyDescent="0.25">
      <c r="A1489" s="575">
        <v>32330</v>
      </c>
      <c r="B1489" s="576" t="s">
        <v>691</v>
      </c>
      <c r="C1489" s="582"/>
      <c r="D1489" s="582">
        <v>0</v>
      </c>
      <c r="E1489" s="582">
        <v>0.01</v>
      </c>
      <c r="F1489" s="582"/>
      <c r="G1489" s="582">
        <v>0</v>
      </c>
      <c r="H1489" s="582"/>
      <c r="I1489" s="639" t="e">
        <f t="shared" ref="I1489:I1495" si="242">F1489/C1489</f>
        <v>#DIV/0!</v>
      </c>
      <c r="J1489" s="567"/>
      <c r="K1489" s="568"/>
    </row>
    <row r="1490" spans="1:11" x14ac:dyDescent="0.25">
      <c r="A1490" s="575">
        <v>32340</v>
      </c>
      <c r="B1490" s="576" t="s">
        <v>29</v>
      </c>
      <c r="C1490" s="582"/>
      <c r="D1490" s="582">
        <v>0</v>
      </c>
      <c r="E1490" s="582">
        <v>0</v>
      </c>
      <c r="F1490" s="582"/>
      <c r="G1490" s="582">
        <v>0</v>
      </c>
      <c r="H1490" s="582"/>
      <c r="I1490" s="639" t="e">
        <f t="shared" si="242"/>
        <v>#DIV/0!</v>
      </c>
      <c r="J1490" s="567"/>
      <c r="K1490" s="568"/>
    </row>
    <row r="1491" spans="1:11" x14ac:dyDescent="0.25">
      <c r="A1491" s="575">
        <v>32360</v>
      </c>
      <c r="B1491" s="576" t="s">
        <v>692</v>
      </c>
      <c r="C1491" s="582"/>
      <c r="D1491" s="582">
        <v>0</v>
      </c>
      <c r="E1491" s="582">
        <v>0.01</v>
      </c>
      <c r="F1491" s="582"/>
      <c r="G1491" s="582">
        <v>0</v>
      </c>
      <c r="H1491" s="582"/>
      <c r="I1491" s="639" t="e">
        <f t="shared" si="242"/>
        <v>#DIV/0!</v>
      </c>
      <c r="J1491" s="567"/>
      <c r="K1491" s="568"/>
    </row>
    <row r="1492" spans="1:11" x14ac:dyDescent="0.25">
      <c r="A1492" s="575">
        <v>38103</v>
      </c>
      <c r="B1492" s="576" t="s">
        <v>693</v>
      </c>
      <c r="C1492" s="582"/>
      <c r="D1492" s="582">
        <v>0</v>
      </c>
      <c r="E1492" s="582">
        <v>0.01</v>
      </c>
      <c r="F1492" s="582"/>
      <c r="G1492" s="582">
        <v>0</v>
      </c>
      <c r="H1492" s="582"/>
      <c r="I1492" s="639" t="e">
        <f t="shared" si="242"/>
        <v>#DIV/0!</v>
      </c>
      <c r="J1492" s="567"/>
      <c r="K1492" s="568"/>
    </row>
    <row r="1493" spans="1:11" x14ac:dyDescent="0.25">
      <c r="A1493" s="575">
        <v>38104</v>
      </c>
      <c r="B1493" s="576" t="s">
        <v>694</v>
      </c>
      <c r="C1493" s="582">
        <v>15000</v>
      </c>
      <c r="D1493" s="582">
        <v>0</v>
      </c>
      <c r="E1493" s="582"/>
      <c r="F1493" s="582"/>
      <c r="G1493" s="582"/>
      <c r="H1493" s="582"/>
      <c r="I1493" s="639">
        <f t="shared" si="242"/>
        <v>0</v>
      </c>
      <c r="J1493" s="567"/>
      <c r="K1493" s="568"/>
    </row>
    <row r="1494" spans="1:11" x14ac:dyDescent="0.25">
      <c r="A1494" s="575"/>
      <c r="B1494" s="576" t="s">
        <v>1258</v>
      </c>
      <c r="C1494" s="582"/>
      <c r="D1494" s="582">
        <v>0</v>
      </c>
      <c r="E1494" s="582">
        <v>0.01</v>
      </c>
      <c r="F1494" s="582"/>
      <c r="G1494" s="582">
        <v>0</v>
      </c>
      <c r="H1494" s="582"/>
      <c r="I1494" s="639" t="e">
        <f t="shared" si="242"/>
        <v>#DIV/0!</v>
      </c>
      <c r="J1494" s="567"/>
      <c r="K1494" s="568"/>
    </row>
    <row r="1495" spans="1:11" x14ac:dyDescent="0.25">
      <c r="A1495" s="575"/>
      <c r="B1495" s="561" t="s">
        <v>373</v>
      </c>
      <c r="C1495" s="616">
        <f>SUM(C1489:C1494)</f>
        <v>15000</v>
      </c>
      <c r="D1495" s="616">
        <f t="shared" ref="D1495:H1495" si="243">SUM(D1489:D1494)</f>
        <v>0</v>
      </c>
      <c r="E1495" s="616">
        <f>SUM(E1489:E1494)</f>
        <v>0.04</v>
      </c>
      <c r="F1495" s="616">
        <f t="shared" si="243"/>
        <v>0</v>
      </c>
      <c r="G1495" s="616">
        <f>SUM(G1489:G1494)</f>
        <v>0</v>
      </c>
      <c r="H1495" s="616">
        <f t="shared" si="243"/>
        <v>0</v>
      </c>
      <c r="I1495" s="639">
        <f t="shared" si="242"/>
        <v>0</v>
      </c>
      <c r="J1495" s="567"/>
      <c r="K1495" s="568"/>
    </row>
    <row r="1496" spans="1:11" x14ac:dyDescent="0.25">
      <c r="A1496" s="575"/>
      <c r="B1496" s="561"/>
      <c r="C1496" s="564"/>
      <c r="D1496" s="581"/>
      <c r="E1496" s="581"/>
      <c r="F1496" s="564"/>
      <c r="G1496" s="581"/>
      <c r="H1496" s="581"/>
      <c r="I1496" s="581"/>
      <c r="J1496" s="567"/>
      <c r="K1496" s="568"/>
    </row>
    <row r="1497" spans="1:11" x14ac:dyDescent="0.25">
      <c r="A1497" s="575"/>
      <c r="B1497" s="576"/>
      <c r="C1497" s="564"/>
      <c r="D1497" s="601"/>
      <c r="E1497" s="601"/>
      <c r="F1497" s="564"/>
      <c r="G1497" s="581"/>
      <c r="H1497" s="581"/>
      <c r="I1497" s="581"/>
      <c r="J1497" s="567"/>
      <c r="K1497" s="568"/>
    </row>
    <row r="1498" spans="1:11" x14ac:dyDescent="0.25">
      <c r="A1498" s="764" t="s">
        <v>695</v>
      </c>
      <c r="B1498" s="688" t="s">
        <v>696</v>
      </c>
      <c r="C1498" s="677">
        <v>2017</v>
      </c>
      <c r="D1498" s="765" t="s">
        <v>1236</v>
      </c>
      <c r="E1498" s="765">
        <v>2018</v>
      </c>
      <c r="F1498" s="677" t="s">
        <v>1236</v>
      </c>
      <c r="G1498" s="765" t="s">
        <v>4</v>
      </c>
      <c r="H1498" s="765">
        <v>2019</v>
      </c>
      <c r="I1498" s="766" t="s">
        <v>5</v>
      </c>
      <c r="J1498" s="567"/>
      <c r="K1498" s="568"/>
    </row>
    <row r="1499" spans="1:11" x14ac:dyDescent="0.25">
      <c r="A1499" s="580"/>
      <c r="B1499" s="576"/>
      <c r="C1499" s="677" t="s">
        <v>6</v>
      </c>
      <c r="D1499" s="678">
        <v>43069</v>
      </c>
      <c r="E1499" s="765" t="s">
        <v>6</v>
      </c>
      <c r="F1499" s="678">
        <v>43131</v>
      </c>
      <c r="G1499" s="678" t="s">
        <v>1131</v>
      </c>
      <c r="H1499" s="678" t="s">
        <v>6</v>
      </c>
      <c r="I1499" s="766" t="s">
        <v>92</v>
      </c>
      <c r="J1499" s="567"/>
      <c r="K1499" s="568"/>
    </row>
    <row r="1500" spans="1:11" x14ac:dyDescent="0.25">
      <c r="A1500" s="575">
        <v>70010</v>
      </c>
      <c r="B1500" s="576" t="s">
        <v>697</v>
      </c>
      <c r="C1500" s="564">
        <v>0.01</v>
      </c>
      <c r="D1500" s="581">
        <v>0</v>
      </c>
      <c r="E1500" s="581">
        <v>0.01</v>
      </c>
      <c r="F1500" s="564">
        <v>0</v>
      </c>
      <c r="G1500" s="581">
        <v>0</v>
      </c>
      <c r="H1500" s="581">
        <v>0</v>
      </c>
      <c r="I1500" s="639">
        <f>F1500/C1500</f>
        <v>0</v>
      </c>
      <c r="J1500" s="567"/>
      <c r="K1500" s="568"/>
    </row>
    <row r="1501" spans="1:11" x14ac:dyDescent="0.25">
      <c r="A1501" s="590"/>
      <c r="B1501" s="576" t="s">
        <v>1194</v>
      </c>
      <c r="C1501" s="564">
        <v>0.01</v>
      </c>
      <c r="D1501" s="581">
        <v>0</v>
      </c>
      <c r="E1501" s="581">
        <v>0.01</v>
      </c>
      <c r="F1501" s="564">
        <v>0</v>
      </c>
      <c r="G1501" s="581">
        <v>0</v>
      </c>
      <c r="H1501" s="581">
        <v>0</v>
      </c>
      <c r="I1501" s="639">
        <f>F1501/C1501</f>
        <v>0</v>
      </c>
      <c r="J1501" s="567"/>
      <c r="K1501" s="568"/>
    </row>
    <row r="1502" spans="1:11" x14ac:dyDescent="0.25">
      <c r="A1502" s="590" t="s">
        <v>698</v>
      </c>
      <c r="B1502" s="576" t="s">
        <v>86</v>
      </c>
      <c r="C1502" s="564"/>
      <c r="D1502" s="581"/>
      <c r="E1502" s="581"/>
      <c r="F1502" s="564"/>
      <c r="G1502" s="581"/>
      <c r="H1502" s="581"/>
      <c r="I1502" s="581"/>
      <c r="J1502" s="567"/>
      <c r="K1502" s="568"/>
    </row>
    <row r="1503" spans="1:11" x14ac:dyDescent="0.25">
      <c r="A1503" s="590">
        <v>90000</v>
      </c>
      <c r="B1503" s="576" t="s">
        <v>699</v>
      </c>
      <c r="C1503" s="564">
        <v>0.01</v>
      </c>
      <c r="D1503" s="581">
        <v>0</v>
      </c>
      <c r="E1503" s="581">
        <v>0.01</v>
      </c>
      <c r="F1503" s="564">
        <v>0</v>
      </c>
      <c r="G1503" s="581">
        <v>0</v>
      </c>
      <c r="H1503" s="581">
        <v>0</v>
      </c>
      <c r="I1503" s="639">
        <f>F1503/C1503</f>
        <v>0</v>
      </c>
      <c r="J1503" s="567"/>
      <c r="K1503" s="568"/>
    </row>
    <row r="1504" spans="1:11" x14ac:dyDescent="0.25">
      <c r="A1504" s="590"/>
      <c r="B1504" s="561" t="s">
        <v>116</v>
      </c>
      <c r="C1504" s="674">
        <f>SUM(C1500:C1503)</f>
        <v>0.03</v>
      </c>
      <c r="D1504" s="563">
        <f t="shared" ref="D1504:H1504" si="244">SUM(D1500:D1503)</f>
        <v>0</v>
      </c>
      <c r="E1504" s="563">
        <f>SUM(E1500:E1503)</f>
        <v>0.03</v>
      </c>
      <c r="F1504" s="674">
        <f t="shared" si="244"/>
        <v>0</v>
      </c>
      <c r="G1504" s="563">
        <f>SUM(G1500:G1503)</f>
        <v>0</v>
      </c>
      <c r="H1504" s="563">
        <f t="shared" si="244"/>
        <v>0</v>
      </c>
      <c r="I1504" s="639">
        <f>F1504/C1504</f>
        <v>0</v>
      </c>
      <c r="J1504" s="567"/>
      <c r="K1504" s="568"/>
    </row>
    <row r="1505" spans="1:11" x14ac:dyDescent="0.25">
      <c r="A1505" s="590"/>
      <c r="B1505" s="561"/>
      <c r="C1505" s="564"/>
      <c r="D1505" s="581"/>
      <c r="E1505" s="581"/>
      <c r="F1505" s="564"/>
      <c r="G1505" s="581"/>
      <c r="H1505" s="581"/>
      <c r="I1505" s="581"/>
      <c r="J1505" s="567"/>
      <c r="K1505" s="568"/>
    </row>
    <row r="1506" spans="1:11" x14ac:dyDescent="0.25">
      <c r="A1506" s="590"/>
      <c r="B1506" s="561" t="s">
        <v>700</v>
      </c>
      <c r="C1506" s="616">
        <f>C1495</f>
        <v>15000</v>
      </c>
      <c r="D1506" s="616">
        <f t="shared" ref="D1506:F1506" si="245">D1495</f>
        <v>0</v>
      </c>
      <c r="E1506" s="616">
        <f>E1495</f>
        <v>0.04</v>
      </c>
      <c r="F1506" s="616">
        <f t="shared" si="245"/>
        <v>0</v>
      </c>
      <c r="G1506" s="616">
        <f>G1495</f>
        <v>0</v>
      </c>
      <c r="H1506" s="616"/>
      <c r="I1506" s="639">
        <f t="shared" ref="I1506:I1511" si="246">F1506/C1506</f>
        <v>0</v>
      </c>
      <c r="J1506" s="567"/>
      <c r="K1506" s="568"/>
    </row>
    <row r="1507" spans="1:11" x14ac:dyDescent="0.25">
      <c r="A1507" s="590"/>
      <c r="B1507" s="561" t="s">
        <v>701</v>
      </c>
      <c r="C1507" s="579">
        <f>C1504</f>
        <v>0.03</v>
      </c>
      <c r="D1507" s="579">
        <f t="shared" ref="D1507:H1507" si="247">D1504</f>
        <v>0</v>
      </c>
      <c r="E1507" s="579">
        <f>E1504</f>
        <v>0.03</v>
      </c>
      <c r="F1507" s="579">
        <f t="shared" si="247"/>
        <v>0</v>
      </c>
      <c r="G1507" s="579">
        <f>G1504</f>
        <v>0</v>
      </c>
      <c r="H1507" s="579">
        <f t="shared" si="247"/>
        <v>0</v>
      </c>
      <c r="I1507" s="639">
        <f t="shared" si="246"/>
        <v>0</v>
      </c>
      <c r="J1507" s="567"/>
      <c r="K1507" s="568"/>
    </row>
    <row r="1508" spans="1:11" x14ac:dyDescent="0.25">
      <c r="A1508" s="560"/>
      <c r="B1508" s="561" t="s">
        <v>702</v>
      </c>
      <c r="C1508" s="616">
        <f>C1506-C1507</f>
        <v>14999.97</v>
      </c>
      <c r="D1508" s="616">
        <f t="shared" ref="D1508:H1508" si="248">D1506-D1507</f>
        <v>0</v>
      </c>
      <c r="E1508" s="616">
        <f>E1506-E1507</f>
        <v>1.0000000000000002E-2</v>
      </c>
      <c r="F1508" s="616">
        <f t="shared" si="248"/>
        <v>0</v>
      </c>
      <c r="G1508" s="616">
        <f>G1506-G1507</f>
        <v>0</v>
      </c>
      <c r="H1508" s="616">
        <f t="shared" si="248"/>
        <v>0</v>
      </c>
      <c r="I1508" s="639">
        <f t="shared" si="246"/>
        <v>0</v>
      </c>
      <c r="J1508" s="567"/>
      <c r="K1508" s="568"/>
    </row>
    <row r="1509" spans="1:11" x14ac:dyDescent="0.25">
      <c r="A1509" s="560"/>
      <c r="B1509" s="561" t="s">
        <v>451</v>
      </c>
      <c r="C1509" s="616">
        <f>C1486+C1508</f>
        <v>133775.97</v>
      </c>
      <c r="D1509" s="616">
        <f t="shared" ref="D1509:H1509" si="249">D1486+D1508</f>
        <v>0</v>
      </c>
      <c r="E1509" s="616">
        <f>E1486+E1508</f>
        <v>118776.01</v>
      </c>
      <c r="F1509" s="616">
        <f>F1486+F1508</f>
        <v>0</v>
      </c>
      <c r="G1509" s="616">
        <f>G1486+G1508</f>
        <v>118776</v>
      </c>
      <c r="H1509" s="616">
        <f t="shared" si="249"/>
        <v>0</v>
      </c>
      <c r="I1509" s="639">
        <f t="shared" si="246"/>
        <v>0</v>
      </c>
      <c r="J1509" s="567"/>
      <c r="K1509" s="568"/>
    </row>
    <row r="1510" spans="1:11" x14ac:dyDescent="0.25">
      <c r="A1510" s="560"/>
      <c r="B1510" s="561" t="s">
        <v>703</v>
      </c>
      <c r="C1510" s="616">
        <v>60000</v>
      </c>
      <c r="D1510" s="616"/>
      <c r="E1510" s="616"/>
      <c r="F1510" s="616"/>
      <c r="G1510" s="616"/>
      <c r="H1510" s="616"/>
      <c r="I1510" s="639">
        <f t="shared" si="246"/>
        <v>0</v>
      </c>
      <c r="J1510" s="567"/>
      <c r="K1510" s="568"/>
    </row>
    <row r="1511" spans="1:11" x14ac:dyDescent="0.25">
      <c r="A1511" s="560"/>
      <c r="B1511" s="561" t="s">
        <v>465</v>
      </c>
      <c r="C1511" s="616">
        <f>C1509-C1510</f>
        <v>73775.97</v>
      </c>
      <c r="D1511" s="616">
        <f t="shared" ref="D1511:H1511" si="250">D1509-D1510</f>
        <v>0</v>
      </c>
      <c r="E1511" s="616">
        <f>E1509-E1510</f>
        <v>118776.01</v>
      </c>
      <c r="F1511" s="616">
        <f t="shared" si="250"/>
        <v>0</v>
      </c>
      <c r="G1511" s="616">
        <f>G1509-G1510</f>
        <v>118776</v>
      </c>
      <c r="H1511" s="616">
        <f t="shared" si="250"/>
        <v>0</v>
      </c>
      <c r="I1511" s="639">
        <f t="shared" si="246"/>
        <v>0</v>
      </c>
      <c r="J1511" s="567"/>
      <c r="K1511" s="568"/>
    </row>
    <row r="1512" spans="1:11" s="569" customFormat="1" x14ac:dyDescent="0.25">
      <c r="A1512" s="560"/>
      <c r="B1512" s="561"/>
      <c r="C1512" s="564"/>
      <c r="D1512" s="563"/>
      <c r="E1512" s="562"/>
      <c r="F1512" s="565"/>
      <c r="G1512" s="566"/>
      <c r="H1512" s="566"/>
      <c r="I1512" s="566"/>
      <c r="J1512" s="567"/>
      <c r="K1512" s="568"/>
    </row>
    <row r="1513" spans="1:11" x14ac:dyDescent="0.25">
      <c r="A1513" s="570" t="s">
        <v>1082</v>
      </c>
      <c r="B1513" s="571" t="s">
        <v>1083</v>
      </c>
      <c r="C1513" s="912">
        <v>2017</v>
      </c>
      <c r="D1513" s="572" t="s">
        <v>1236</v>
      </c>
      <c r="E1513" s="572">
        <v>2018</v>
      </c>
      <c r="F1513" s="913" t="s">
        <v>1236</v>
      </c>
      <c r="G1513" s="913" t="s">
        <v>4</v>
      </c>
      <c r="H1513" s="913">
        <v>2019</v>
      </c>
      <c r="I1513" s="766" t="s">
        <v>5</v>
      </c>
      <c r="J1513" s="567"/>
      <c r="K1513" s="568"/>
    </row>
    <row r="1514" spans="1:11" x14ac:dyDescent="0.25">
      <c r="A1514" s="575"/>
      <c r="B1514" s="561"/>
      <c r="C1514" s="912" t="s">
        <v>6</v>
      </c>
      <c r="D1514" s="574">
        <v>43069</v>
      </c>
      <c r="E1514" s="572" t="s">
        <v>6</v>
      </c>
      <c r="F1514" s="914">
        <v>43131</v>
      </c>
      <c r="G1514" s="914" t="s">
        <v>1131</v>
      </c>
      <c r="H1514" s="914" t="s">
        <v>6</v>
      </c>
      <c r="I1514" s="766" t="s">
        <v>7</v>
      </c>
      <c r="J1514" s="567"/>
      <c r="K1514" s="568"/>
    </row>
    <row r="1515" spans="1:11" x14ac:dyDescent="0.25">
      <c r="A1515" s="575"/>
      <c r="B1515" s="576" t="s">
        <v>93</v>
      </c>
      <c r="C1515" s="578"/>
      <c r="D1515" s="577"/>
      <c r="E1515" s="576"/>
      <c r="F1515" s="564"/>
      <c r="G1515" s="581"/>
      <c r="H1515" s="581"/>
      <c r="I1515" s="581"/>
      <c r="J1515" s="567"/>
      <c r="K1515" s="568"/>
    </row>
    <row r="1516" spans="1:11" x14ac:dyDescent="0.25">
      <c r="A1516" s="561" t="s">
        <v>1235</v>
      </c>
      <c r="B1516" s="576"/>
      <c r="C1516" s="566">
        <v>76851</v>
      </c>
      <c r="D1516" s="566"/>
      <c r="E1516" s="901">
        <v>0</v>
      </c>
      <c r="F1516" s="579">
        <v>0</v>
      </c>
      <c r="G1516" s="566">
        <v>0</v>
      </c>
      <c r="H1516" s="566">
        <v>0</v>
      </c>
      <c r="I1516" s="566"/>
      <c r="J1516" s="567"/>
      <c r="K1516" s="568"/>
    </row>
    <row r="1517" spans="1:11" x14ac:dyDescent="0.25">
      <c r="A1517" s="580" t="s">
        <v>1084</v>
      </c>
      <c r="B1517" s="576" t="s">
        <v>704</v>
      </c>
      <c r="C1517" s="581">
        <v>0</v>
      </c>
      <c r="D1517" s="564"/>
      <c r="E1517" s="968">
        <v>0</v>
      </c>
      <c r="F1517" s="564"/>
      <c r="G1517" s="564">
        <v>0</v>
      </c>
      <c r="H1517" s="564">
        <v>0</v>
      </c>
      <c r="I1517" s="564"/>
      <c r="J1517" s="567"/>
      <c r="K1517" s="568"/>
    </row>
    <row r="1518" spans="1:11" x14ac:dyDescent="0.25">
      <c r="A1518" s="575">
        <v>31100</v>
      </c>
      <c r="B1518" s="576" t="s">
        <v>705</v>
      </c>
      <c r="C1518" s="581">
        <v>0</v>
      </c>
      <c r="D1518" s="564">
        <v>0</v>
      </c>
      <c r="E1518" s="968">
        <v>0</v>
      </c>
      <c r="F1518" s="564"/>
      <c r="G1518" s="564">
        <v>0</v>
      </c>
      <c r="H1518" s="564">
        <v>0</v>
      </c>
      <c r="I1518" s="564"/>
      <c r="J1518" s="567"/>
      <c r="K1518" s="568"/>
    </row>
    <row r="1519" spans="1:11" x14ac:dyDescent="0.25">
      <c r="A1519" s="575">
        <v>31200</v>
      </c>
      <c r="B1519" s="576" t="s">
        <v>346</v>
      </c>
      <c r="C1519" s="581">
        <v>0</v>
      </c>
      <c r="D1519" s="564">
        <v>0</v>
      </c>
      <c r="E1519" s="968">
        <v>0</v>
      </c>
      <c r="F1519" s="564"/>
      <c r="G1519" s="564">
        <v>0</v>
      </c>
      <c r="H1519" s="564">
        <v>0</v>
      </c>
      <c r="I1519" s="564"/>
      <c r="J1519" s="567"/>
      <c r="K1519" s="568"/>
    </row>
    <row r="1520" spans="1:11" x14ac:dyDescent="0.25">
      <c r="A1520" s="575">
        <v>31250</v>
      </c>
      <c r="B1520" s="576" t="s">
        <v>642</v>
      </c>
      <c r="C1520" s="581">
        <v>0</v>
      </c>
      <c r="D1520" s="564">
        <v>0</v>
      </c>
      <c r="E1520" s="968">
        <v>0</v>
      </c>
      <c r="F1520" s="564"/>
      <c r="G1520" s="564">
        <v>0</v>
      </c>
      <c r="H1520" s="564">
        <v>0</v>
      </c>
      <c r="I1520" s="564"/>
      <c r="J1520" s="567"/>
      <c r="K1520" s="568"/>
    </row>
    <row r="1521" spans="1:11" x14ac:dyDescent="0.25">
      <c r="A1521" s="575"/>
      <c r="B1521" s="583" t="s">
        <v>507</v>
      </c>
      <c r="C1521" s="584">
        <f>SUM(C1518:C1520)</f>
        <v>0</v>
      </c>
      <c r="D1521" s="584">
        <f t="shared" ref="D1521" si="251">SUM(D1518:D1520)</f>
        <v>0</v>
      </c>
      <c r="E1521" s="953">
        <v>0</v>
      </c>
      <c r="F1521" s="586">
        <f t="shared" ref="F1521:H1521" si="252">SUM(F1518:F1520)</f>
        <v>0</v>
      </c>
      <c r="G1521" s="584">
        <f>SUM(G1518:G1520)</f>
        <v>0</v>
      </c>
      <c r="H1521" s="584">
        <f t="shared" si="252"/>
        <v>0</v>
      </c>
      <c r="I1521" s="584"/>
      <c r="J1521" s="567"/>
      <c r="K1521" s="568"/>
    </row>
    <row r="1522" spans="1:11" x14ac:dyDescent="0.25">
      <c r="A1522" s="575"/>
      <c r="B1522" s="583"/>
      <c r="C1522" s="564"/>
      <c r="D1522" s="581"/>
      <c r="E1522" s="938"/>
      <c r="F1522" s="582"/>
      <c r="G1522" s="581"/>
      <c r="H1522" s="581"/>
      <c r="I1522" s="581"/>
      <c r="J1522" s="567"/>
      <c r="K1522" s="568"/>
    </row>
    <row r="1523" spans="1:11" x14ac:dyDescent="0.25">
      <c r="A1523" s="575">
        <v>32071</v>
      </c>
      <c r="B1523" s="576" t="s">
        <v>706</v>
      </c>
      <c r="C1523" s="564"/>
      <c r="D1523" s="564">
        <v>0</v>
      </c>
      <c r="E1523" s="968">
        <v>0</v>
      </c>
      <c r="F1523" s="564"/>
      <c r="G1523" s="581">
        <v>0</v>
      </c>
      <c r="H1523" s="581"/>
      <c r="I1523" s="581"/>
      <c r="J1523" s="567"/>
      <c r="K1523" s="568"/>
    </row>
    <row r="1524" spans="1:11" s="569" customFormat="1" x14ac:dyDescent="0.25">
      <c r="A1524" s="575">
        <v>32072</v>
      </c>
      <c r="B1524" s="576" t="s">
        <v>1134</v>
      </c>
      <c r="C1524" s="564">
        <v>6500</v>
      </c>
      <c r="D1524" s="564">
        <v>1250</v>
      </c>
      <c r="E1524" s="901">
        <v>7000</v>
      </c>
      <c r="F1524" s="564"/>
      <c r="G1524" s="581">
        <v>7000</v>
      </c>
      <c r="H1524" s="581"/>
      <c r="I1524" s="581"/>
      <c r="J1524" s="567"/>
      <c r="K1524" s="568"/>
    </row>
    <row r="1525" spans="1:11" s="569" customFormat="1" x14ac:dyDescent="0.25">
      <c r="A1525" s="575">
        <v>32280</v>
      </c>
      <c r="B1525" s="576" t="s">
        <v>707</v>
      </c>
      <c r="C1525" s="564">
        <v>2966</v>
      </c>
      <c r="D1525" s="564">
        <v>2966</v>
      </c>
      <c r="E1525" s="901">
        <v>2966</v>
      </c>
      <c r="F1525" s="564"/>
      <c r="G1525" s="581">
        <v>2966</v>
      </c>
      <c r="H1525" s="581"/>
      <c r="I1525" s="581"/>
      <c r="J1525" s="776"/>
      <c r="K1525" s="568"/>
    </row>
    <row r="1526" spans="1:11" x14ac:dyDescent="0.25">
      <c r="A1526" s="575">
        <v>32310</v>
      </c>
      <c r="B1526" s="576" t="s">
        <v>1173</v>
      </c>
      <c r="C1526" s="564"/>
      <c r="D1526" s="564">
        <v>0</v>
      </c>
      <c r="E1526" s="901">
        <v>0</v>
      </c>
      <c r="F1526" s="564"/>
      <c r="G1526" s="581">
        <v>0</v>
      </c>
      <c r="H1526" s="581"/>
      <c r="I1526" s="581"/>
      <c r="J1526" s="567"/>
      <c r="K1526" s="568"/>
    </row>
    <row r="1527" spans="1:11" x14ac:dyDescent="0.25">
      <c r="A1527" s="575">
        <v>32330</v>
      </c>
      <c r="B1527" s="576" t="s">
        <v>28</v>
      </c>
      <c r="C1527" s="564"/>
      <c r="D1527" s="564">
        <v>0</v>
      </c>
      <c r="E1527" s="901">
        <v>0</v>
      </c>
      <c r="F1527" s="564"/>
      <c r="G1527" s="581">
        <v>0</v>
      </c>
      <c r="H1527" s="581"/>
      <c r="I1527" s="581"/>
      <c r="J1527" s="567"/>
      <c r="K1527" s="568"/>
    </row>
    <row r="1528" spans="1:11" x14ac:dyDescent="0.25">
      <c r="A1528" s="575">
        <v>32332</v>
      </c>
      <c r="B1528" s="576" t="s">
        <v>708</v>
      </c>
      <c r="C1528" s="564"/>
      <c r="D1528" s="564">
        <v>0</v>
      </c>
      <c r="E1528" s="901">
        <v>0</v>
      </c>
      <c r="F1528" s="564"/>
      <c r="G1528" s="581">
        <v>0</v>
      </c>
      <c r="H1528" s="581"/>
      <c r="I1528" s="581"/>
      <c r="J1528" s="567"/>
      <c r="K1528" s="568"/>
    </row>
    <row r="1529" spans="1:11" x14ac:dyDescent="0.25">
      <c r="A1529" s="575">
        <v>32340</v>
      </c>
      <c r="B1529" s="576" t="s">
        <v>29</v>
      </c>
      <c r="C1529" s="564"/>
      <c r="D1529" s="564">
        <v>0</v>
      </c>
      <c r="E1529" s="901">
        <v>0</v>
      </c>
      <c r="F1529" s="564"/>
      <c r="G1529" s="581">
        <v>0</v>
      </c>
      <c r="H1529" s="581"/>
      <c r="I1529" s="581"/>
      <c r="J1529" s="567"/>
      <c r="K1529" s="568"/>
    </row>
    <row r="1530" spans="1:11" x14ac:dyDescent="0.25">
      <c r="A1530" s="575">
        <v>32343</v>
      </c>
      <c r="B1530" s="576" t="s">
        <v>709</v>
      </c>
      <c r="C1530" s="564"/>
      <c r="D1530" s="564">
        <v>0</v>
      </c>
      <c r="E1530" s="901">
        <v>0</v>
      </c>
      <c r="F1530" s="564"/>
      <c r="G1530" s="581">
        <v>0</v>
      </c>
      <c r="H1530" s="581"/>
      <c r="I1530" s="581"/>
      <c r="J1530" s="567"/>
      <c r="K1530" s="568"/>
    </row>
    <row r="1531" spans="1:11" x14ac:dyDescent="0.25">
      <c r="A1531" s="575">
        <v>32350</v>
      </c>
      <c r="B1531" s="576" t="s">
        <v>710</v>
      </c>
      <c r="C1531" s="564"/>
      <c r="D1531" s="564">
        <v>0</v>
      </c>
      <c r="E1531" s="901">
        <v>0</v>
      </c>
      <c r="F1531" s="564"/>
      <c r="G1531" s="581">
        <v>0</v>
      </c>
      <c r="H1531" s="581"/>
      <c r="I1531" s="581"/>
      <c r="J1531" s="567"/>
      <c r="K1531" s="568"/>
    </row>
    <row r="1532" spans="1:11" x14ac:dyDescent="0.25">
      <c r="A1532" s="575">
        <v>32355</v>
      </c>
      <c r="B1532" s="576" t="s">
        <v>711</v>
      </c>
      <c r="C1532" s="564"/>
      <c r="D1532" s="564">
        <v>0</v>
      </c>
      <c r="E1532" s="901">
        <v>0</v>
      </c>
      <c r="F1532" s="564"/>
      <c r="G1532" s="581">
        <v>0</v>
      </c>
      <c r="H1532" s="581"/>
      <c r="I1532" s="581"/>
      <c r="J1532" s="567"/>
      <c r="K1532" s="568"/>
    </row>
    <row r="1533" spans="1:11" x14ac:dyDescent="0.25">
      <c r="A1533" s="575">
        <v>32390</v>
      </c>
      <c r="B1533" s="576" t="s">
        <v>712</v>
      </c>
      <c r="C1533" s="564"/>
      <c r="D1533" s="564">
        <v>888</v>
      </c>
      <c r="E1533" s="901">
        <v>0</v>
      </c>
      <c r="F1533" s="564"/>
      <c r="G1533" s="581">
        <v>0</v>
      </c>
      <c r="H1533" s="581"/>
      <c r="I1533" s="581"/>
      <c r="J1533" s="567"/>
      <c r="K1533" s="568"/>
    </row>
    <row r="1534" spans="1:11" x14ac:dyDescent="0.25">
      <c r="A1534" s="575">
        <v>32680</v>
      </c>
      <c r="B1534" s="576" t="s">
        <v>713</v>
      </c>
      <c r="C1534" s="564">
        <v>2000</v>
      </c>
      <c r="D1534" s="564">
        <v>0</v>
      </c>
      <c r="E1534" s="901">
        <v>2000</v>
      </c>
      <c r="F1534" s="564"/>
      <c r="G1534" s="581">
        <v>2000</v>
      </c>
      <c r="H1534" s="581"/>
      <c r="I1534" s="581"/>
      <c r="J1534" s="567"/>
      <c r="K1534" s="568"/>
    </row>
    <row r="1535" spans="1:11" x14ac:dyDescent="0.25">
      <c r="A1535" s="575">
        <v>32690</v>
      </c>
      <c r="B1535" s="576" t="s">
        <v>714</v>
      </c>
      <c r="C1535" s="564">
        <v>6500</v>
      </c>
      <c r="D1535" s="564">
        <v>4665</v>
      </c>
      <c r="E1535" s="901">
        <v>14200</v>
      </c>
      <c r="F1535" s="564"/>
      <c r="G1535" s="581">
        <v>14200</v>
      </c>
      <c r="H1535" s="581"/>
      <c r="I1535" s="581"/>
      <c r="J1535" s="567"/>
      <c r="K1535" s="568"/>
    </row>
    <row r="1536" spans="1:11" x14ac:dyDescent="0.25">
      <c r="A1536" s="575"/>
      <c r="B1536" s="583" t="s">
        <v>14</v>
      </c>
      <c r="C1536" s="588">
        <f>SUM(C1523:C1535)</f>
        <v>17966</v>
      </c>
      <c r="D1536" s="587">
        <f t="shared" ref="D1536" si="253">SUM(D1523:D1535)</f>
        <v>9769</v>
      </c>
      <c r="E1536" s="953">
        <f>SUM(E1523:E1535)</f>
        <v>26166</v>
      </c>
      <c r="F1536" s="589">
        <f t="shared" ref="F1536:H1536" si="254">SUM(F1523:F1535)</f>
        <v>0</v>
      </c>
      <c r="G1536" s="587">
        <f>SUM(G1523:G1535)</f>
        <v>26166</v>
      </c>
      <c r="H1536" s="587">
        <f t="shared" si="254"/>
        <v>0</v>
      </c>
      <c r="I1536" s="587"/>
      <c r="J1536" s="567"/>
      <c r="K1536" s="568"/>
    </row>
    <row r="1537" spans="1:11" x14ac:dyDescent="0.25">
      <c r="A1537" s="575"/>
      <c r="B1537" s="561" t="s">
        <v>34</v>
      </c>
      <c r="C1537" s="564"/>
      <c r="D1537" s="581"/>
      <c r="E1537" s="935"/>
      <c r="F1537" s="582"/>
      <c r="G1537" s="581"/>
      <c r="H1537" s="581"/>
      <c r="I1537" s="581"/>
      <c r="J1537" s="567"/>
      <c r="K1537" s="568"/>
    </row>
    <row r="1538" spans="1:11" x14ac:dyDescent="0.25">
      <c r="A1538" s="575">
        <v>33110</v>
      </c>
      <c r="B1538" s="576" t="s">
        <v>715</v>
      </c>
      <c r="C1538" s="581">
        <v>0</v>
      </c>
      <c r="D1538" s="581">
        <v>0</v>
      </c>
      <c r="E1538" s="901">
        <v>0</v>
      </c>
      <c r="F1538" s="564"/>
      <c r="G1538" s="581">
        <v>0</v>
      </c>
      <c r="H1538" s="581"/>
      <c r="I1538" s="581"/>
      <c r="J1538" s="567"/>
      <c r="K1538" s="568"/>
    </row>
    <row r="1539" spans="1:11" x14ac:dyDescent="0.25">
      <c r="A1539" s="575">
        <v>33170</v>
      </c>
      <c r="B1539" s="576" t="s">
        <v>716</v>
      </c>
      <c r="C1539" s="581">
        <v>0</v>
      </c>
      <c r="D1539" s="581">
        <v>0</v>
      </c>
      <c r="E1539" s="901">
        <v>0</v>
      </c>
      <c r="F1539" s="564"/>
      <c r="G1539" s="581">
        <v>0</v>
      </c>
      <c r="H1539" s="581"/>
      <c r="I1539" s="581"/>
      <c r="J1539" s="664"/>
      <c r="K1539" s="691"/>
    </row>
    <row r="1540" spans="1:11" x14ac:dyDescent="0.25">
      <c r="A1540" s="575">
        <v>33240</v>
      </c>
      <c r="B1540" s="576" t="s">
        <v>717</v>
      </c>
      <c r="C1540" s="581">
        <v>0</v>
      </c>
      <c r="D1540" s="581">
        <v>0</v>
      </c>
      <c r="E1540" s="901">
        <v>0</v>
      </c>
      <c r="F1540" s="564"/>
      <c r="G1540" s="581">
        <v>0</v>
      </c>
      <c r="H1540" s="581"/>
      <c r="I1540" s="581"/>
      <c r="J1540" s="567"/>
      <c r="K1540" s="568"/>
    </row>
    <row r="1541" spans="1:11" x14ac:dyDescent="0.25">
      <c r="A1541" s="575">
        <v>33250</v>
      </c>
      <c r="B1541" s="576" t="s">
        <v>1264</v>
      </c>
      <c r="C1541" s="581">
        <v>500</v>
      </c>
      <c r="D1541" s="581">
        <v>724</v>
      </c>
      <c r="E1541" s="901">
        <v>825</v>
      </c>
      <c r="F1541" s="564"/>
      <c r="G1541" s="581">
        <v>825</v>
      </c>
      <c r="H1541" s="581"/>
      <c r="I1541" s="581"/>
      <c r="J1541" s="567"/>
      <c r="K1541" s="568"/>
    </row>
    <row r="1542" spans="1:11" x14ac:dyDescent="0.25">
      <c r="A1542" s="575">
        <v>33310</v>
      </c>
      <c r="B1542" s="576" t="s">
        <v>718</v>
      </c>
      <c r="C1542" s="581">
        <v>0</v>
      </c>
      <c r="D1542" s="581">
        <v>0</v>
      </c>
      <c r="E1542" s="901">
        <v>0</v>
      </c>
      <c r="F1542" s="564"/>
      <c r="G1542" s="581">
        <v>0</v>
      </c>
      <c r="H1542" s="581"/>
      <c r="I1542" s="581"/>
      <c r="J1542" s="567"/>
      <c r="K1542" s="568"/>
    </row>
    <row r="1543" spans="1:11" x14ac:dyDescent="0.25">
      <c r="A1543" s="575">
        <v>33390</v>
      </c>
      <c r="B1543" s="576" t="s">
        <v>719</v>
      </c>
      <c r="C1543" s="581">
        <v>22000</v>
      </c>
      <c r="D1543" s="581">
        <v>15675</v>
      </c>
      <c r="E1543" s="901">
        <v>22000</v>
      </c>
      <c r="F1543" s="564"/>
      <c r="G1543" s="581">
        <v>22000</v>
      </c>
      <c r="H1543" s="581"/>
      <c r="I1543" s="581"/>
      <c r="J1543" s="567"/>
      <c r="K1543" s="568"/>
    </row>
    <row r="1544" spans="1:11" x14ac:dyDescent="0.25">
      <c r="A1544" s="575">
        <v>33391</v>
      </c>
      <c r="B1544" s="576" t="s">
        <v>720</v>
      </c>
      <c r="C1544" s="581">
        <v>100000</v>
      </c>
      <c r="D1544" s="581">
        <v>68780.41</v>
      </c>
      <c r="E1544" s="901">
        <v>100000</v>
      </c>
      <c r="F1544" s="564"/>
      <c r="G1544" s="581">
        <v>100000</v>
      </c>
      <c r="H1544" s="581"/>
      <c r="I1544" s="581"/>
      <c r="J1544" s="567"/>
      <c r="K1544" s="568"/>
    </row>
    <row r="1545" spans="1:11" s="569" customFormat="1" x14ac:dyDescent="0.25">
      <c r="A1545" s="575">
        <v>33410</v>
      </c>
      <c r="B1545" s="576" t="s">
        <v>721</v>
      </c>
      <c r="C1545" s="581">
        <v>28549</v>
      </c>
      <c r="D1545" s="581">
        <v>23011.79</v>
      </c>
      <c r="E1545" s="901">
        <v>28549</v>
      </c>
      <c r="F1545" s="564"/>
      <c r="G1545" s="581">
        <v>28549</v>
      </c>
      <c r="H1545" s="581"/>
      <c r="I1545" s="581"/>
      <c r="J1545" s="567"/>
      <c r="K1545" s="568"/>
    </row>
    <row r="1546" spans="1:11" s="569" customFormat="1" x14ac:dyDescent="0.25">
      <c r="A1546" s="575">
        <v>33411</v>
      </c>
      <c r="B1546" s="576" t="s">
        <v>722</v>
      </c>
      <c r="C1546" s="581">
        <v>1500</v>
      </c>
      <c r="D1546" s="581">
        <v>0</v>
      </c>
      <c r="E1546" s="901">
        <v>0</v>
      </c>
      <c r="F1546" s="564"/>
      <c r="G1546" s="581">
        <v>0</v>
      </c>
      <c r="H1546" s="581"/>
      <c r="I1546" s="581"/>
      <c r="J1546" s="567"/>
      <c r="K1546" s="568"/>
    </row>
    <row r="1547" spans="1:11" s="569" customFormat="1" x14ac:dyDescent="0.25">
      <c r="A1547" s="575">
        <v>33413</v>
      </c>
      <c r="B1547" s="576" t="s">
        <v>723</v>
      </c>
      <c r="C1547" s="581">
        <v>6161</v>
      </c>
      <c r="D1547" s="581">
        <v>3213.35</v>
      </c>
      <c r="E1547" s="901">
        <v>0</v>
      </c>
      <c r="F1547" s="564"/>
      <c r="G1547" s="581">
        <v>0</v>
      </c>
      <c r="H1547" s="581"/>
      <c r="I1547" s="581"/>
      <c r="J1547" s="567"/>
      <c r="K1547" s="568"/>
    </row>
    <row r="1548" spans="1:11" s="569" customFormat="1" x14ac:dyDescent="0.25">
      <c r="A1548" s="575">
        <v>33470</v>
      </c>
      <c r="B1548" s="576" t="s">
        <v>724</v>
      </c>
      <c r="C1548" s="581">
        <v>0</v>
      </c>
      <c r="D1548" s="581">
        <v>0</v>
      </c>
      <c r="E1548" s="901">
        <v>0</v>
      </c>
      <c r="F1548" s="564"/>
      <c r="G1548" s="581">
        <v>0</v>
      </c>
      <c r="H1548" s="581"/>
      <c r="I1548" s="581"/>
      <c r="J1548" s="567"/>
      <c r="K1548" s="568"/>
    </row>
    <row r="1549" spans="1:11" s="569" customFormat="1" x14ac:dyDescent="0.25">
      <c r="A1549" s="575">
        <v>33471</v>
      </c>
      <c r="B1549" s="576" t="s">
        <v>725</v>
      </c>
      <c r="C1549" s="581">
        <v>41835</v>
      </c>
      <c r="D1549" s="581">
        <v>31376.25</v>
      </c>
      <c r="E1549" s="901">
        <v>46862</v>
      </c>
      <c r="F1549" s="564"/>
      <c r="G1549" s="581">
        <v>46862</v>
      </c>
      <c r="H1549" s="581"/>
      <c r="I1549" s="581"/>
      <c r="J1549" s="567"/>
      <c r="K1549" s="568"/>
    </row>
    <row r="1550" spans="1:11" s="569" customFormat="1" x14ac:dyDescent="0.25">
      <c r="A1550" s="575">
        <v>33478</v>
      </c>
      <c r="B1550" s="576" t="s">
        <v>1063</v>
      </c>
      <c r="C1550" s="581">
        <v>12000</v>
      </c>
      <c r="D1550" s="581">
        <v>10633.89</v>
      </c>
      <c r="E1550" s="901">
        <v>10000</v>
      </c>
      <c r="F1550" s="564"/>
      <c r="G1550" s="581">
        <v>10000</v>
      </c>
      <c r="H1550" s="581"/>
      <c r="I1550" s="581"/>
      <c r="J1550" s="567"/>
      <c r="K1550" s="568"/>
    </row>
    <row r="1551" spans="1:11" s="569" customFormat="1" x14ac:dyDescent="0.25">
      <c r="A1551" s="575">
        <v>33480</v>
      </c>
      <c r="B1551" s="576" t="s">
        <v>726</v>
      </c>
      <c r="C1551" s="581">
        <v>10150</v>
      </c>
      <c r="D1551" s="581">
        <v>58740</v>
      </c>
      <c r="E1551" s="901">
        <v>10000</v>
      </c>
      <c r="F1551" s="564"/>
      <c r="G1551" s="581">
        <v>10000</v>
      </c>
      <c r="H1551" s="581"/>
      <c r="I1551" s="581"/>
      <c r="J1551" s="567"/>
      <c r="K1551" s="568"/>
    </row>
    <row r="1552" spans="1:11" s="569" customFormat="1" x14ac:dyDescent="0.25">
      <c r="A1552" s="575">
        <v>33490</v>
      </c>
      <c r="B1552" s="576" t="s">
        <v>727</v>
      </c>
      <c r="C1552" s="581">
        <v>69666</v>
      </c>
      <c r="D1552" s="581">
        <v>51081.599999999999</v>
      </c>
      <c r="E1552" s="901">
        <v>69666</v>
      </c>
      <c r="F1552" s="564"/>
      <c r="G1552" s="581">
        <v>69666</v>
      </c>
      <c r="H1552" s="581"/>
      <c r="I1552" s="581"/>
      <c r="J1552" s="567"/>
      <c r="K1552" s="568"/>
    </row>
    <row r="1553" spans="1:11" s="569" customFormat="1" ht="15.75" customHeight="1" x14ac:dyDescent="0.25">
      <c r="A1553" s="575">
        <v>33491</v>
      </c>
      <c r="B1553" s="576" t="s">
        <v>728</v>
      </c>
      <c r="C1553" s="581">
        <v>25310</v>
      </c>
      <c r="D1553" s="581">
        <v>20935.28</v>
      </c>
      <c r="E1553" s="901">
        <v>25310</v>
      </c>
      <c r="F1553" s="564"/>
      <c r="G1553" s="581">
        <v>25310</v>
      </c>
      <c r="H1553" s="581"/>
      <c r="I1553" s="581"/>
      <c r="J1553" s="567"/>
      <c r="K1553" s="568"/>
    </row>
    <row r="1554" spans="1:11" s="569" customFormat="1" x14ac:dyDescent="0.25">
      <c r="A1554" s="575">
        <v>33510</v>
      </c>
      <c r="B1554" s="576" t="s">
        <v>1265</v>
      </c>
      <c r="C1554" s="581">
        <v>7389</v>
      </c>
      <c r="D1554" s="581">
        <v>14784</v>
      </c>
      <c r="E1554" s="901">
        <v>8494</v>
      </c>
      <c r="F1554" s="564"/>
      <c r="G1554" s="581">
        <v>8494</v>
      </c>
      <c r="H1554" s="581"/>
      <c r="I1554" s="581"/>
      <c r="J1554" s="567"/>
      <c r="K1554" s="568"/>
    </row>
    <row r="1555" spans="1:11" s="569" customFormat="1" x14ac:dyDescent="0.25">
      <c r="A1555" s="575">
        <v>33550</v>
      </c>
      <c r="B1555" s="576" t="s">
        <v>729</v>
      </c>
      <c r="C1555" s="581">
        <v>0</v>
      </c>
      <c r="D1555" s="581">
        <v>100</v>
      </c>
      <c r="E1555" s="901">
        <v>0</v>
      </c>
      <c r="F1555" s="564"/>
      <c r="G1555" s="581">
        <v>0</v>
      </c>
      <c r="H1555" s="581"/>
      <c r="I1555" s="581"/>
      <c r="J1555" s="567"/>
      <c r="K1555" s="568"/>
    </row>
    <row r="1556" spans="1:11" s="569" customFormat="1" x14ac:dyDescent="0.25">
      <c r="A1556" s="575">
        <v>33700</v>
      </c>
      <c r="B1556" s="576" t="s">
        <v>730</v>
      </c>
      <c r="C1556" s="581">
        <v>4000</v>
      </c>
      <c r="D1556" s="581">
        <v>4000</v>
      </c>
      <c r="E1556" s="901">
        <v>4000</v>
      </c>
      <c r="F1556" s="564"/>
      <c r="G1556" s="581">
        <v>4000</v>
      </c>
      <c r="H1556" s="581"/>
      <c r="I1556" s="581"/>
      <c r="J1556" s="567"/>
      <c r="K1556" s="568"/>
    </row>
    <row r="1557" spans="1:11" s="569" customFormat="1" x14ac:dyDescent="0.25">
      <c r="A1557" s="575">
        <v>33721</v>
      </c>
      <c r="B1557" s="576" t="s">
        <v>731</v>
      </c>
      <c r="C1557" s="581"/>
      <c r="D1557" s="581">
        <v>600</v>
      </c>
      <c r="E1557" s="901">
        <v>0</v>
      </c>
      <c r="F1557" s="564"/>
      <c r="G1557" s="581">
        <v>0</v>
      </c>
      <c r="H1557" s="581"/>
      <c r="I1557" s="581"/>
      <c r="J1557" s="567"/>
      <c r="K1557" s="568"/>
    </row>
    <row r="1558" spans="1:11" s="569" customFormat="1" x14ac:dyDescent="0.25">
      <c r="A1558" s="575">
        <v>33722</v>
      </c>
      <c r="B1558" s="576" t="s">
        <v>732</v>
      </c>
      <c r="C1558" s="581"/>
      <c r="D1558" s="581">
        <v>0</v>
      </c>
      <c r="E1558" s="901">
        <v>0</v>
      </c>
      <c r="F1558" s="564"/>
      <c r="G1558" s="581">
        <v>0</v>
      </c>
      <c r="H1558" s="581"/>
      <c r="I1558" s="581"/>
      <c r="J1558" s="567"/>
      <c r="K1558" s="568"/>
    </row>
    <row r="1559" spans="1:11" s="569" customFormat="1" x14ac:dyDescent="0.25">
      <c r="A1559" s="575">
        <v>33760</v>
      </c>
      <c r="B1559" s="576" t="s">
        <v>733</v>
      </c>
      <c r="C1559" s="581"/>
      <c r="D1559" s="581">
        <v>0</v>
      </c>
      <c r="E1559" s="901">
        <v>0</v>
      </c>
      <c r="F1559" s="564"/>
      <c r="G1559" s="581">
        <v>0</v>
      </c>
      <c r="H1559" s="581"/>
      <c r="I1559" s="581"/>
      <c r="J1559" s="567"/>
      <c r="K1559" s="568"/>
    </row>
    <row r="1560" spans="1:11" s="569" customFormat="1" x14ac:dyDescent="0.25">
      <c r="A1560" s="575">
        <v>33840</v>
      </c>
      <c r="B1560" s="576" t="s">
        <v>1174</v>
      </c>
      <c r="C1560" s="581">
        <v>89988</v>
      </c>
      <c r="D1560" s="581">
        <v>64312.78</v>
      </c>
      <c r="E1560" s="901">
        <v>90000</v>
      </c>
      <c r="F1560" s="564"/>
      <c r="G1560" s="581">
        <v>90000</v>
      </c>
      <c r="H1560" s="581"/>
      <c r="I1560" s="581"/>
      <c r="J1560" s="567"/>
      <c r="K1560" s="568"/>
    </row>
    <row r="1561" spans="1:11" s="569" customFormat="1" x14ac:dyDescent="0.25">
      <c r="A1561" s="575">
        <v>33845</v>
      </c>
      <c r="B1561" s="576" t="s">
        <v>1065</v>
      </c>
      <c r="C1561" s="581">
        <v>7700</v>
      </c>
      <c r="D1561" s="581">
        <v>4928.18</v>
      </c>
      <c r="E1561" s="901">
        <v>9560</v>
      </c>
      <c r="F1561" s="564"/>
      <c r="G1561" s="581">
        <v>9560</v>
      </c>
      <c r="H1561" s="581"/>
      <c r="I1561" s="581"/>
      <c r="J1561" s="567"/>
      <c r="K1561" s="568"/>
    </row>
    <row r="1562" spans="1:11" s="569" customFormat="1" x14ac:dyDescent="0.25">
      <c r="A1562" s="575">
        <v>33860</v>
      </c>
      <c r="B1562" s="576" t="s">
        <v>734</v>
      </c>
      <c r="C1562" s="581">
        <v>0</v>
      </c>
      <c r="D1562" s="581">
        <v>7510.58</v>
      </c>
      <c r="E1562" s="901">
        <v>0</v>
      </c>
      <c r="F1562" s="564"/>
      <c r="G1562" s="581">
        <v>0</v>
      </c>
      <c r="H1562" s="581"/>
      <c r="I1562" s="581"/>
      <c r="J1562" s="567"/>
      <c r="K1562" s="568"/>
    </row>
    <row r="1563" spans="1:11" s="569" customFormat="1" x14ac:dyDescent="0.25">
      <c r="A1563" s="575">
        <v>33866</v>
      </c>
      <c r="B1563" s="576" t="s">
        <v>1067</v>
      </c>
      <c r="C1563" s="581">
        <v>80000</v>
      </c>
      <c r="D1563" s="581">
        <v>68739.520000000004</v>
      </c>
      <c r="E1563" s="901">
        <v>80000</v>
      </c>
      <c r="F1563" s="564"/>
      <c r="G1563" s="581">
        <v>80000</v>
      </c>
      <c r="H1563" s="581"/>
      <c r="I1563" s="581"/>
      <c r="J1563" s="567"/>
      <c r="K1563" s="568"/>
    </row>
    <row r="1564" spans="1:11" s="569" customFormat="1" x14ac:dyDescent="0.25">
      <c r="A1564" s="575">
        <v>33868</v>
      </c>
      <c r="B1564" s="576" t="s">
        <v>1085</v>
      </c>
      <c r="C1564" s="581">
        <v>600</v>
      </c>
      <c r="D1564" s="581">
        <v>0</v>
      </c>
      <c r="E1564" s="901">
        <v>0</v>
      </c>
      <c r="F1564" s="564"/>
      <c r="G1564" s="581">
        <v>0</v>
      </c>
      <c r="H1564" s="581"/>
      <c r="I1564" s="581"/>
      <c r="J1564" s="567"/>
      <c r="K1564" s="568"/>
    </row>
    <row r="1565" spans="1:11" x14ac:dyDescent="0.25">
      <c r="A1565" s="575"/>
      <c r="B1565" s="583" t="s">
        <v>14</v>
      </c>
      <c r="C1565" s="584">
        <f>SUM(C1538:C1564)</f>
        <v>507348</v>
      </c>
      <c r="D1565" s="581">
        <f t="shared" ref="D1565:H1565" si="255">SUM(D1538:D1564)</f>
        <v>449146.63</v>
      </c>
      <c r="E1565" s="901">
        <f>SUM(E1538:E1564)</f>
        <v>505266</v>
      </c>
      <c r="F1565" s="588">
        <f t="shared" si="255"/>
        <v>0</v>
      </c>
      <c r="G1565" s="586">
        <f>SUM(G1538:G1564)</f>
        <v>505266</v>
      </c>
      <c r="H1565" s="586">
        <f t="shared" si="255"/>
        <v>0</v>
      </c>
      <c r="I1565" s="586"/>
      <c r="J1565" s="567"/>
      <c r="K1565" s="568"/>
    </row>
    <row r="1566" spans="1:11" x14ac:dyDescent="0.25">
      <c r="A1566" s="575"/>
      <c r="B1566" s="561" t="s">
        <v>45</v>
      </c>
      <c r="C1566" s="564"/>
      <c r="D1566" s="564"/>
      <c r="E1566" s="968"/>
      <c r="F1566" s="564"/>
      <c r="G1566" s="581"/>
      <c r="H1566" s="581"/>
      <c r="I1566" s="581"/>
      <c r="J1566" s="567"/>
      <c r="K1566" s="568"/>
    </row>
    <row r="1567" spans="1:11" x14ac:dyDescent="0.25">
      <c r="A1567" s="575">
        <v>34010</v>
      </c>
      <c r="B1567" s="576" t="s">
        <v>735</v>
      </c>
      <c r="C1567" s="581">
        <v>0</v>
      </c>
      <c r="D1567" s="581">
        <v>0</v>
      </c>
      <c r="E1567" s="901">
        <v>0</v>
      </c>
      <c r="F1567" s="564"/>
      <c r="G1567" s="581">
        <v>0</v>
      </c>
      <c r="H1567" s="581"/>
      <c r="I1567" s="581"/>
      <c r="J1567" s="567"/>
      <c r="K1567" s="568"/>
    </row>
    <row r="1568" spans="1:11" x14ac:dyDescent="0.25">
      <c r="A1568" s="575">
        <v>34105</v>
      </c>
      <c r="B1568" s="576" t="s">
        <v>736</v>
      </c>
      <c r="C1568" s="581">
        <v>200</v>
      </c>
      <c r="D1568" s="581">
        <v>137</v>
      </c>
      <c r="E1568" s="901">
        <v>400</v>
      </c>
      <c r="F1568" s="564"/>
      <c r="G1568" s="581">
        <v>400</v>
      </c>
      <c r="H1568" s="581"/>
      <c r="I1568" s="581"/>
      <c r="J1568" s="567"/>
      <c r="K1568" s="568"/>
    </row>
    <row r="1569" spans="1:11" x14ac:dyDescent="0.25">
      <c r="A1569" s="575">
        <v>34200</v>
      </c>
      <c r="B1569" s="576" t="s">
        <v>737</v>
      </c>
      <c r="C1569" s="581">
        <v>0</v>
      </c>
      <c r="D1569" s="581">
        <v>0</v>
      </c>
      <c r="E1569" s="901">
        <v>0</v>
      </c>
      <c r="F1569" s="564"/>
      <c r="G1569" s="581">
        <v>0</v>
      </c>
      <c r="H1569" s="581"/>
      <c r="I1569" s="581"/>
      <c r="J1569" s="567"/>
      <c r="K1569" s="568"/>
    </row>
    <row r="1570" spans="1:11" x14ac:dyDescent="0.25">
      <c r="A1570" s="575">
        <v>34230</v>
      </c>
      <c r="B1570" s="576" t="s">
        <v>738</v>
      </c>
      <c r="C1570" s="581">
        <v>400</v>
      </c>
      <c r="D1570" s="581">
        <v>250</v>
      </c>
      <c r="E1570" s="901">
        <v>400</v>
      </c>
      <c r="F1570" s="564"/>
      <c r="G1570" s="581">
        <v>400</v>
      </c>
      <c r="H1570" s="581"/>
      <c r="I1570" s="581"/>
      <c r="J1570" s="567"/>
      <c r="K1570" s="568"/>
    </row>
    <row r="1571" spans="1:11" x14ac:dyDescent="0.25">
      <c r="A1571" s="575">
        <v>34240</v>
      </c>
      <c r="B1571" s="576" t="s">
        <v>739</v>
      </c>
      <c r="C1571" s="581">
        <v>0</v>
      </c>
      <c r="D1571" s="581">
        <v>0</v>
      </c>
      <c r="E1571" s="901">
        <v>0</v>
      </c>
      <c r="F1571" s="564"/>
      <c r="G1571" s="581">
        <v>0</v>
      </c>
      <c r="H1571" s="581"/>
      <c r="I1571" s="581"/>
      <c r="J1571" s="567"/>
      <c r="K1571" s="568"/>
    </row>
    <row r="1572" spans="1:11" s="569" customFormat="1" x14ac:dyDescent="0.25">
      <c r="A1572" s="575">
        <v>34350</v>
      </c>
      <c r="B1572" s="576" t="s">
        <v>740</v>
      </c>
      <c r="C1572" s="581">
        <v>0</v>
      </c>
      <c r="D1572" s="581">
        <v>0</v>
      </c>
      <c r="E1572" s="901">
        <v>0</v>
      </c>
      <c r="F1572" s="564"/>
      <c r="G1572" s="581">
        <v>0</v>
      </c>
      <c r="H1572" s="581"/>
      <c r="I1572" s="581"/>
      <c r="J1572" s="567"/>
      <c r="K1572" s="568"/>
    </row>
    <row r="1573" spans="1:11" x14ac:dyDescent="0.25">
      <c r="A1573" s="575"/>
      <c r="B1573" s="576" t="s">
        <v>1175</v>
      </c>
      <c r="C1573" s="581">
        <v>200</v>
      </c>
      <c r="D1573" s="581">
        <v>0</v>
      </c>
      <c r="E1573" s="901">
        <v>100</v>
      </c>
      <c r="F1573" s="564"/>
      <c r="G1573" s="581">
        <v>100</v>
      </c>
      <c r="H1573" s="581"/>
      <c r="I1573" s="581"/>
      <c r="J1573" s="567"/>
      <c r="K1573" s="568"/>
    </row>
    <row r="1574" spans="1:11" x14ac:dyDescent="0.25">
      <c r="A1574" s="575">
        <v>34360</v>
      </c>
      <c r="B1574" s="576" t="s">
        <v>1161</v>
      </c>
      <c r="C1574" s="581">
        <v>4000</v>
      </c>
      <c r="D1574" s="581">
        <v>15</v>
      </c>
      <c r="E1574" s="901">
        <v>5500</v>
      </c>
      <c r="F1574" s="564"/>
      <c r="G1574" s="581">
        <v>5500</v>
      </c>
      <c r="H1574" s="581"/>
      <c r="I1574" s="581"/>
      <c r="J1574" s="567"/>
      <c r="K1574" s="568"/>
    </row>
    <row r="1575" spans="1:11" x14ac:dyDescent="0.25">
      <c r="A1575" s="948">
        <v>34361</v>
      </c>
      <c r="B1575" s="900" t="s">
        <v>1217</v>
      </c>
      <c r="C1575" s="581"/>
      <c r="D1575" s="581">
        <v>120</v>
      </c>
      <c r="E1575" s="901">
        <v>400</v>
      </c>
      <c r="F1575" s="564"/>
      <c r="G1575" s="581">
        <v>400</v>
      </c>
      <c r="H1575" s="581"/>
      <c r="I1575" s="581"/>
      <c r="J1575" s="567"/>
      <c r="K1575" s="568"/>
    </row>
    <row r="1576" spans="1:11" x14ac:dyDescent="0.25">
      <c r="A1576" s="948">
        <v>34362</v>
      </c>
      <c r="B1576" s="900" t="s">
        <v>1230</v>
      </c>
      <c r="C1576" s="581"/>
      <c r="D1576" s="581">
        <v>1000</v>
      </c>
      <c r="E1576" s="901">
        <v>1000</v>
      </c>
      <c r="F1576" s="564"/>
      <c r="G1576" s="581">
        <v>1000</v>
      </c>
      <c r="H1576" s="581"/>
      <c r="I1576" s="581"/>
      <c r="J1576" s="567"/>
      <c r="K1576" s="568"/>
    </row>
    <row r="1577" spans="1:11" x14ac:dyDescent="0.25">
      <c r="A1577" s="575"/>
      <c r="B1577" s="583" t="s">
        <v>14</v>
      </c>
      <c r="C1577" s="587">
        <f>SUM(C1567:C1575)</f>
        <v>4800</v>
      </c>
      <c r="D1577" s="587">
        <f>SUM(D1567:D1576)</f>
        <v>1522</v>
      </c>
      <c r="E1577" s="953">
        <f>SUM(E1567:E1576)</f>
        <v>7800</v>
      </c>
      <c r="F1577" s="589">
        <f>SUM(F1567:F1575)</f>
        <v>0</v>
      </c>
      <c r="G1577" s="587">
        <f>SUM(G1567:G1576)</f>
        <v>7800</v>
      </c>
      <c r="H1577" s="587">
        <f>SUM(H1567:H1575)</f>
        <v>0</v>
      </c>
      <c r="I1577" s="587"/>
      <c r="J1577" s="567"/>
      <c r="K1577" s="568"/>
    </row>
    <row r="1578" spans="1:11" x14ac:dyDescent="0.25">
      <c r="A1578" s="575"/>
      <c r="B1578" s="561" t="s">
        <v>741</v>
      </c>
      <c r="C1578" s="581"/>
      <c r="D1578" s="581"/>
      <c r="E1578" s="956"/>
      <c r="F1578" s="582"/>
      <c r="G1578" s="581"/>
      <c r="H1578" s="581"/>
      <c r="I1578" s="581"/>
      <c r="J1578" s="567"/>
      <c r="K1578" s="568"/>
    </row>
    <row r="1579" spans="1:11" x14ac:dyDescent="0.25">
      <c r="A1579" s="575">
        <v>36162</v>
      </c>
      <c r="B1579" s="576" t="s">
        <v>1297</v>
      </c>
      <c r="C1579" s="581"/>
      <c r="D1579" s="581"/>
      <c r="E1579" s="901">
        <f>13789+43000</f>
        <v>56789</v>
      </c>
      <c r="F1579" s="582"/>
      <c r="G1579" s="581">
        <v>56789</v>
      </c>
      <c r="H1579" s="581"/>
      <c r="I1579" s="581"/>
      <c r="J1579" s="567"/>
      <c r="K1579" s="568"/>
    </row>
    <row r="1580" spans="1:11" x14ac:dyDescent="0.25">
      <c r="A1580" s="575">
        <v>36162</v>
      </c>
      <c r="B1580" s="576" t="s">
        <v>1296</v>
      </c>
      <c r="C1580" s="581"/>
      <c r="D1580" s="581"/>
      <c r="E1580" s="901">
        <v>55208</v>
      </c>
      <c r="F1580" s="582"/>
      <c r="G1580" s="581">
        <v>55208</v>
      </c>
      <c r="H1580" s="581"/>
      <c r="I1580" s="581"/>
      <c r="J1580" s="567"/>
      <c r="K1580" s="568"/>
    </row>
    <row r="1581" spans="1:11" x14ac:dyDescent="0.25">
      <c r="A1581" s="575">
        <v>38090</v>
      </c>
      <c r="B1581" s="576" t="s">
        <v>742</v>
      </c>
      <c r="C1581" s="581">
        <v>0</v>
      </c>
      <c r="D1581" s="581">
        <v>0</v>
      </c>
      <c r="E1581" s="901"/>
      <c r="F1581" s="564">
        <v>0</v>
      </c>
      <c r="G1581" s="581">
        <v>0</v>
      </c>
      <c r="H1581" s="581"/>
      <c r="I1581" s="581"/>
      <c r="J1581" s="567"/>
      <c r="K1581" s="568"/>
    </row>
    <row r="1582" spans="1:11" x14ac:dyDescent="0.25">
      <c r="A1582" s="575">
        <v>38101</v>
      </c>
      <c r="B1582" s="576" t="s">
        <v>743</v>
      </c>
      <c r="C1582" s="581">
        <v>0</v>
      </c>
      <c r="D1582" s="581">
        <v>0</v>
      </c>
      <c r="E1582" s="901">
        <v>0</v>
      </c>
      <c r="F1582" s="564">
        <v>0</v>
      </c>
      <c r="G1582" s="581">
        <v>0</v>
      </c>
      <c r="H1582" s="581"/>
      <c r="I1582" s="581"/>
      <c r="J1582" s="567"/>
      <c r="K1582" s="568"/>
    </row>
    <row r="1583" spans="1:11" x14ac:dyDescent="0.25">
      <c r="A1583" s="575">
        <v>38102</v>
      </c>
      <c r="B1583" s="576" t="s">
        <v>744</v>
      </c>
      <c r="C1583" s="581">
        <v>0</v>
      </c>
      <c r="D1583" s="581">
        <v>0</v>
      </c>
      <c r="E1583" s="901">
        <v>0</v>
      </c>
      <c r="F1583" s="564">
        <v>0</v>
      </c>
      <c r="G1583" s="581">
        <v>0</v>
      </c>
      <c r="H1583" s="581"/>
      <c r="I1583" s="581"/>
      <c r="J1583" s="567"/>
      <c r="K1583" s="568"/>
    </row>
    <row r="1584" spans="1:11" x14ac:dyDescent="0.25">
      <c r="A1584" s="590">
        <v>38103</v>
      </c>
      <c r="B1584" s="576" t="s">
        <v>745</v>
      </c>
      <c r="C1584" s="581">
        <v>54870</v>
      </c>
      <c r="D1584" s="581">
        <v>54870</v>
      </c>
      <c r="E1584" s="901"/>
      <c r="F1584" s="564">
        <v>0</v>
      </c>
      <c r="G1584" s="581">
        <v>0</v>
      </c>
      <c r="H1584" s="581"/>
      <c r="I1584" s="581"/>
      <c r="J1584" s="567"/>
      <c r="K1584" s="568"/>
    </row>
    <row r="1585" spans="1:11" x14ac:dyDescent="0.25">
      <c r="A1585" s="590">
        <v>38102</v>
      </c>
      <c r="B1585" s="576" t="s">
        <v>746</v>
      </c>
      <c r="C1585" s="581">
        <v>0</v>
      </c>
      <c r="D1585" s="581">
        <v>0</v>
      </c>
      <c r="E1585" s="901"/>
      <c r="F1585" s="564">
        <v>0</v>
      </c>
      <c r="G1585" s="581">
        <v>0</v>
      </c>
      <c r="H1585" s="581"/>
      <c r="I1585" s="581"/>
      <c r="J1585" s="567"/>
      <c r="K1585" s="568"/>
    </row>
    <row r="1586" spans="1:11" s="569" customFormat="1" x14ac:dyDescent="0.25">
      <c r="A1586" s="560"/>
      <c r="B1586" s="583" t="s">
        <v>14</v>
      </c>
      <c r="C1586" s="587">
        <f>SUM(C1581:C1585)</f>
        <v>54870</v>
      </c>
      <c r="D1586" s="587">
        <f t="shared" ref="D1586" si="256">SUM(D1581:D1585)</f>
        <v>54870</v>
      </c>
      <c r="E1586" s="953">
        <f>SUM(E1579:E1585)</f>
        <v>111997</v>
      </c>
      <c r="F1586" s="589">
        <f t="shared" ref="F1586:H1586" si="257">SUM(F1581:F1585)</f>
        <v>0</v>
      </c>
      <c r="G1586" s="587">
        <f>SUM(G1579:G1585)</f>
        <v>111997</v>
      </c>
      <c r="H1586" s="587">
        <f t="shared" si="257"/>
        <v>0</v>
      </c>
      <c r="I1586" s="587"/>
      <c r="J1586" s="567"/>
      <c r="K1586" s="568"/>
    </row>
    <row r="1587" spans="1:11" x14ac:dyDescent="0.25">
      <c r="A1587" s="560"/>
      <c r="B1587" s="583"/>
      <c r="C1587" s="581"/>
      <c r="D1587" s="587"/>
      <c r="E1587" s="953"/>
      <c r="F1587" s="582"/>
      <c r="G1587" s="581"/>
      <c r="H1587" s="581"/>
      <c r="I1587" s="581"/>
      <c r="J1587" s="567"/>
      <c r="K1587" s="691"/>
    </row>
    <row r="1588" spans="1:11" x14ac:dyDescent="0.25">
      <c r="A1588" s="560"/>
      <c r="B1588" s="561" t="s">
        <v>747</v>
      </c>
      <c r="C1588" s="566">
        <f>C1521+C1536+C1565+C1577+C1586</f>
        <v>584984</v>
      </c>
      <c r="D1588" s="566">
        <f t="shared" ref="D1588" si="258">D1521+D1536+D1565+D1577+D1586</f>
        <v>515307.63</v>
      </c>
      <c r="E1588" s="956">
        <f>E1521+E1536+E1565+E1577+E1586</f>
        <v>651229</v>
      </c>
      <c r="F1588" s="579">
        <f>F1521+F1536+F1565+F1577+F1586</f>
        <v>0</v>
      </c>
      <c r="G1588" s="579">
        <f>G1521+G1536+G1565+G1577+G1586</f>
        <v>651229</v>
      </c>
      <c r="H1588" s="579">
        <f t="shared" ref="H1588" si="259">H1521+H1536+H1565+H1577+H1586</f>
        <v>0</v>
      </c>
      <c r="I1588" s="579"/>
      <c r="J1588" s="567"/>
      <c r="K1588" s="691"/>
    </row>
    <row r="1589" spans="1:11" x14ac:dyDescent="0.25">
      <c r="A1589" s="560"/>
      <c r="B1589" s="561"/>
      <c r="C1589" s="564"/>
      <c r="D1589" s="579"/>
      <c r="E1589" s="935"/>
      <c r="F1589" s="564"/>
      <c r="G1589" s="581"/>
      <c r="H1589" s="581"/>
      <c r="I1589" s="581"/>
      <c r="J1589" s="567"/>
      <c r="K1589" s="691"/>
    </row>
    <row r="1590" spans="1:11" x14ac:dyDescent="0.25">
      <c r="A1590" s="560"/>
      <c r="B1590" s="576" t="s">
        <v>696</v>
      </c>
      <c r="C1590" s="564"/>
      <c r="D1590" s="576"/>
      <c r="E1590" s="576"/>
      <c r="F1590" s="564"/>
      <c r="G1590" s="581"/>
      <c r="H1590" s="581"/>
      <c r="I1590" s="581"/>
      <c r="J1590" s="567"/>
      <c r="K1590" s="691"/>
    </row>
    <row r="1591" spans="1:11" x14ac:dyDescent="0.25">
      <c r="A1591" s="591" t="s">
        <v>1086</v>
      </c>
      <c r="B1591" s="571" t="s">
        <v>1164</v>
      </c>
      <c r="C1591" s="573">
        <v>2017</v>
      </c>
      <c r="D1591" s="572" t="s">
        <v>1236</v>
      </c>
      <c r="E1591" s="572">
        <v>2018</v>
      </c>
      <c r="F1591" s="913" t="s">
        <v>1236</v>
      </c>
      <c r="G1591" s="913" t="s">
        <v>4</v>
      </c>
      <c r="H1591" s="913">
        <v>2019</v>
      </c>
      <c r="I1591" s="913" t="s">
        <v>5</v>
      </c>
      <c r="J1591" s="567"/>
      <c r="K1591" s="731"/>
    </row>
    <row r="1592" spans="1:11" x14ac:dyDescent="0.25">
      <c r="A1592" s="580"/>
      <c r="B1592" s="576"/>
      <c r="C1592" s="573" t="s">
        <v>6</v>
      </c>
      <c r="D1592" s="574">
        <v>43069</v>
      </c>
      <c r="E1592" s="572" t="s">
        <v>6</v>
      </c>
      <c r="F1592" s="914">
        <v>43131</v>
      </c>
      <c r="G1592" s="914" t="s">
        <v>1131</v>
      </c>
      <c r="H1592" s="914" t="s">
        <v>6</v>
      </c>
      <c r="I1592" s="914" t="s">
        <v>7</v>
      </c>
      <c r="J1592" s="567"/>
      <c r="K1592" s="691"/>
    </row>
    <row r="1593" spans="1:11" x14ac:dyDescent="0.25">
      <c r="A1593" s="580" t="s">
        <v>1138</v>
      </c>
      <c r="B1593" s="576" t="s">
        <v>93</v>
      </c>
      <c r="C1593" s="578"/>
      <c r="D1593" s="593"/>
      <c r="E1593" s="576"/>
      <c r="F1593" s="564"/>
      <c r="G1593" s="581"/>
      <c r="H1593" s="581"/>
      <c r="I1593" s="581"/>
      <c r="J1593" s="567"/>
      <c r="K1593" s="691"/>
    </row>
    <row r="1594" spans="1:11" x14ac:dyDescent="0.25">
      <c r="A1594" s="560"/>
      <c r="B1594" s="594"/>
      <c r="C1594" s="564"/>
      <c r="D1594" s="581"/>
      <c r="E1594" s="969"/>
      <c r="F1594" s="595"/>
      <c r="G1594" s="581"/>
      <c r="H1594" s="581"/>
      <c r="I1594" s="581"/>
      <c r="J1594" s="567"/>
      <c r="K1594" s="691"/>
    </row>
    <row r="1595" spans="1:11" x14ac:dyDescent="0.25">
      <c r="A1595" s="575">
        <v>40110</v>
      </c>
      <c r="B1595" s="576" t="s">
        <v>748</v>
      </c>
      <c r="C1595" s="581">
        <v>27048</v>
      </c>
      <c r="D1595" s="581">
        <f>20108+1260+1152.4+660</f>
        <v>23180.400000000001</v>
      </c>
      <c r="E1595" s="901">
        <v>35587</v>
      </c>
      <c r="F1595" s="581"/>
      <c r="G1595" s="581">
        <v>35587</v>
      </c>
      <c r="H1595" s="581"/>
      <c r="I1595" s="581"/>
      <c r="J1595" s="567"/>
      <c r="K1595" s="691"/>
    </row>
    <row r="1596" spans="1:11" x14ac:dyDescent="0.25">
      <c r="A1596" s="575">
        <v>41410</v>
      </c>
      <c r="B1596" s="576" t="s">
        <v>478</v>
      </c>
      <c r="C1596" s="581"/>
      <c r="D1596" s="581">
        <v>67.86</v>
      </c>
      <c r="E1596" s="901">
        <v>87</v>
      </c>
      <c r="F1596" s="581"/>
      <c r="G1596" s="581">
        <v>87</v>
      </c>
      <c r="H1596" s="581"/>
      <c r="I1596" s="581"/>
      <c r="J1596" s="567"/>
      <c r="K1596" s="691"/>
    </row>
    <row r="1597" spans="1:11" x14ac:dyDescent="0.25">
      <c r="A1597" s="575">
        <v>41430</v>
      </c>
      <c r="B1597" s="576" t="s">
        <v>98</v>
      </c>
      <c r="C1597" s="581"/>
      <c r="D1597" s="581">
        <v>860</v>
      </c>
      <c r="E1597" s="901">
        <v>3529</v>
      </c>
      <c r="F1597" s="581"/>
      <c r="G1597" s="581">
        <v>3529</v>
      </c>
      <c r="H1597" s="581"/>
      <c r="I1597" s="581"/>
      <c r="J1597" s="567"/>
      <c r="K1597" s="691"/>
    </row>
    <row r="1598" spans="1:11" x14ac:dyDescent="0.25">
      <c r="A1598" s="575">
        <v>41435</v>
      </c>
      <c r="B1598" s="576" t="s">
        <v>1249</v>
      </c>
      <c r="C1598" s="581"/>
      <c r="D1598" s="581">
        <v>0</v>
      </c>
      <c r="E1598" s="901">
        <v>1136</v>
      </c>
      <c r="F1598" s="581"/>
      <c r="G1598" s="581">
        <v>1136</v>
      </c>
      <c r="H1598" s="581"/>
      <c r="I1598" s="581"/>
      <c r="J1598" s="567"/>
      <c r="K1598" s="691"/>
    </row>
    <row r="1599" spans="1:11" x14ac:dyDescent="0.25">
      <c r="A1599" s="575">
        <v>41440</v>
      </c>
      <c r="B1599" s="576" t="s">
        <v>100</v>
      </c>
      <c r="C1599" s="581"/>
      <c r="D1599" s="581">
        <v>1402.93</v>
      </c>
      <c r="E1599" s="901">
        <v>1796</v>
      </c>
      <c r="F1599" s="581"/>
      <c r="G1599" s="581">
        <v>1796</v>
      </c>
      <c r="H1599" s="581"/>
      <c r="I1599" s="581"/>
      <c r="J1599" s="567"/>
      <c r="K1599" s="691"/>
    </row>
    <row r="1600" spans="1:11" x14ac:dyDescent="0.25">
      <c r="A1600" s="575">
        <v>41450</v>
      </c>
      <c r="B1600" s="576" t="s">
        <v>101</v>
      </c>
      <c r="C1600" s="581"/>
      <c r="D1600" s="581">
        <v>328.13</v>
      </c>
      <c r="E1600" s="901">
        <v>420</v>
      </c>
      <c r="F1600" s="581"/>
      <c r="G1600" s="581">
        <v>420</v>
      </c>
      <c r="H1600" s="581"/>
      <c r="I1600" s="581"/>
      <c r="J1600" s="567"/>
      <c r="K1600" s="691"/>
    </row>
    <row r="1601" spans="1:11" x14ac:dyDescent="0.25">
      <c r="A1601" s="575">
        <v>41470</v>
      </c>
      <c r="B1601" s="576" t="s">
        <v>102</v>
      </c>
      <c r="C1601" s="581"/>
      <c r="D1601" s="581">
        <v>14.99</v>
      </c>
      <c r="E1601" s="901">
        <v>25</v>
      </c>
      <c r="F1601" s="581"/>
      <c r="G1601" s="581">
        <v>25</v>
      </c>
      <c r="H1601" s="581"/>
      <c r="I1601" s="581"/>
      <c r="J1601" s="567"/>
      <c r="K1601" s="691"/>
    </row>
    <row r="1602" spans="1:11" x14ac:dyDescent="0.25">
      <c r="A1602" s="575">
        <v>54115</v>
      </c>
      <c r="B1602" s="576" t="s">
        <v>749</v>
      </c>
      <c r="C1602" s="581">
        <v>3580</v>
      </c>
      <c r="D1602" s="581">
        <v>349.79</v>
      </c>
      <c r="E1602" s="901">
        <v>1000</v>
      </c>
      <c r="F1602" s="581"/>
      <c r="G1602" s="581">
        <v>1000</v>
      </c>
      <c r="H1602" s="581"/>
      <c r="I1602" s="581"/>
      <c r="J1602" s="567"/>
      <c r="K1602" s="691"/>
    </row>
    <row r="1603" spans="1:11" x14ac:dyDescent="0.25">
      <c r="A1603" s="575">
        <v>60000</v>
      </c>
      <c r="B1603" s="576" t="s">
        <v>663</v>
      </c>
      <c r="C1603" s="581"/>
      <c r="D1603" s="581">
        <v>60</v>
      </c>
      <c r="E1603" s="901">
        <v>0</v>
      </c>
      <c r="F1603" s="581"/>
      <c r="G1603" s="581">
        <v>0</v>
      </c>
      <c r="H1603" s="581"/>
      <c r="I1603" s="581"/>
      <c r="J1603" s="567"/>
      <c r="K1603" s="691"/>
    </row>
    <row r="1604" spans="1:11" x14ac:dyDescent="0.25">
      <c r="A1604" s="575">
        <v>62310</v>
      </c>
      <c r="B1604" s="576" t="s">
        <v>108</v>
      </c>
      <c r="C1604" s="581"/>
      <c r="D1604" s="581">
        <v>0</v>
      </c>
      <c r="E1604" s="901">
        <v>0</v>
      </c>
      <c r="F1604" s="581"/>
      <c r="G1604" s="581">
        <v>0</v>
      </c>
      <c r="H1604" s="581"/>
      <c r="I1604" s="581"/>
      <c r="J1604" s="567"/>
      <c r="K1604" s="691"/>
    </row>
    <row r="1605" spans="1:11" x14ac:dyDescent="0.25">
      <c r="A1605" s="575">
        <v>62500</v>
      </c>
      <c r="B1605" s="576" t="s">
        <v>109</v>
      </c>
      <c r="C1605" s="581">
        <v>1000</v>
      </c>
      <c r="D1605" s="581">
        <v>39.86</v>
      </c>
      <c r="E1605" s="901">
        <v>600</v>
      </c>
      <c r="F1605" s="581"/>
      <c r="G1605" s="581">
        <v>600</v>
      </c>
      <c r="H1605" s="581"/>
      <c r="I1605" s="581"/>
      <c r="J1605" s="567"/>
      <c r="K1605" s="691"/>
    </row>
    <row r="1606" spans="1:11" x14ac:dyDescent="0.25">
      <c r="A1606" s="575">
        <v>62510</v>
      </c>
      <c r="B1606" s="576" t="s">
        <v>110</v>
      </c>
      <c r="C1606" s="581">
        <v>500</v>
      </c>
      <c r="D1606" s="581">
        <v>139.11000000000001</v>
      </c>
      <c r="E1606" s="901">
        <v>200</v>
      </c>
      <c r="F1606" s="581"/>
      <c r="G1606" s="581">
        <v>200</v>
      </c>
      <c r="H1606" s="581"/>
      <c r="I1606" s="581"/>
      <c r="J1606" s="567"/>
      <c r="K1606" s="691"/>
    </row>
    <row r="1607" spans="1:11" x14ac:dyDescent="0.25">
      <c r="A1607" s="575">
        <v>62530</v>
      </c>
      <c r="B1607" s="576" t="s">
        <v>171</v>
      </c>
      <c r="C1607" s="581">
        <v>3500</v>
      </c>
      <c r="D1607" s="581">
        <v>0</v>
      </c>
      <c r="E1607" s="901">
        <v>200</v>
      </c>
      <c r="F1607" s="581"/>
      <c r="G1607" s="581">
        <v>200</v>
      </c>
      <c r="H1607" s="581"/>
      <c r="I1607" s="581"/>
      <c r="J1607" s="567"/>
      <c r="K1607" s="691"/>
    </row>
    <row r="1608" spans="1:11" x14ac:dyDescent="0.25">
      <c r="A1608" s="575">
        <v>62550</v>
      </c>
      <c r="B1608" s="576" t="s">
        <v>184</v>
      </c>
      <c r="C1608" s="581">
        <v>1000</v>
      </c>
      <c r="D1608" s="581">
        <v>324.27999999999997</v>
      </c>
      <c r="E1608" s="901">
        <v>500</v>
      </c>
      <c r="F1608" s="581"/>
      <c r="G1608" s="581">
        <v>500</v>
      </c>
      <c r="H1608" s="581"/>
      <c r="I1608" s="581"/>
      <c r="J1608" s="567"/>
      <c r="K1608" s="691"/>
    </row>
    <row r="1609" spans="1:11" x14ac:dyDescent="0.25">
      <c r="A1609" s="575">
        <v>63011</v>
      </c>
      <c r="B1609" s="576" t="s">
        <v>1250</v>
      </c>
      <c r="C1609" s="581"/>
      <c r="D1609" s="581"/>
      <c r="E1609" s="901">
        <v>400</v>
      </c>
      <c r="F1609" s="581"/>
      <c r="G1609" s="581">
        <v>400</v>
      </c>
      <c r="H1609" s="581"/>
      <c r="I1609" s="581"/>
      <c r="J1609" s="567"/>
      <c r="K1609" s="691"/>
    </row>
    <row r="1610" spans="1:11" x14ac:dyDescent="0.25">
      <c r="A1610" s="575">
        <v>63260</v>
      </c>
      <c r="B1610" s="576" t="s">
        <v>750</v>
      </c>
      <c r="C1610" s="581"/>
      <c r="D1610" s="581">
        <v>0</v>
      </c>
      <c r="E1610" s="901">
        <v>0</v>
      </c>
      <c r="F1610" s="581"/>
      <c r="G1610" s="581">
        <v>0</v>
      </c>
      <c r="H1610" s="581"/>
      <c r="I1610" s="581"/>
      <c r="J1610" s="567"/>
      <c r="K1610" s="691"/>
    </row>
    <row r="1611" spans="1:11" x14ac:dyDescent="0.25">
      <c r="A1611" s="575">
        <v>63700</v>
      </c>
      <c r="B1611" s="576" t="s">
        <v>751</v>
      </c>
      <c r="C1611" s="581"/>
      <c r="D1611" s="581">
        <v>0</v>
      </c>
      <c r="E1611" s="901">
        <v>0</v>
      </c>
      <c r="F1611" s="581"/>
      <c r="G1611" s="581">
        <v>0</v>
      </c>
      <c r="H1611" s="581"/>
      <c r="I1611" s="581"/>
      <c r="J1611" s="567"/>
      <c r="K1611" s="691"/>
    </row>
    <row r="1612" spans="1:11" s="569" customFormat="1" x14ac:dyDescent="0.25">
      <c r="A1612" s="575">
        <v>64479</v>
      </c>
      <c r="B1612" s="576" t="s">
        <v>752</v>
      </c>
      <c r="C1612" s="581"/>
      <c r="D1612" s="581">
        <v>0</v>
      </c>
      <c r="E1612" s="901">
        <v>0</v>
      </c>
      <c r="F1612" s="581"/>
      <c r="G1612" s="581">
        <v>0</v>
      </c>
      <c r="H1612" s="581"/>
      <c r="I1612" s="581"/>
      <c r="J1612" s="567"/>
      <c r="K1612" s="691"/>
    </row>
    <row r="1613" spans="1:11" x14ac:dyDescent="0.25">
      <c r="A1613" s="575">
        <v>68010</v>
      </c>
      <c r="B1613" s="576" t="s">
        <v>753</v>
      </c>
      <c r="C1613" s="581">
        <v>2420</v>
      </c>
      <c r="D1613" s="581">
        <v>75</v>
      </c>
      <c r="E1613" s="901">
        <v>650</v>
      </c>
      <c r="F1613" s="581"/>
      <c r="G1613" s="581">
        <v>650</v>
      </c>
      <c r="H1613" s="581"/>
      <c r="I1613" s="581"/>
      <c r="J1613" s="567"/>
      <c r="K1613" s="691"/>
    </row>
    <row r="1614" spans="1:11" x14ac:dyDescent="0.25">
      <c r="A1614" s="575">
        <v>69999</v>
      </c>
      <c r="B1614" s="576" t="s">
        <v>355</v>
      </c>
      <c r="C1614" s="581">
        <v>2787</v>
      </c>
      <c r="D1614" s="581">
        <v>0</v>
      </c>
      <c r="E1614" s="901">
        <v>1132</v>
      </c>
      <c r="F1614" s="581"/>
      <c r="G1614" s="581">
        <v>1132</v>
      </c>
      <c r="H1614" s="581"/>
      <c r="I1614" s="581"/>
      <c r="J1614" s="567"/>
      <c r="K1614" s="691"/>
    </row>
    <row r="1615" spans="1:11" x14ac:dyDescent="0.25">
      <c r="A1615" s="596"/>
      <c r="B1615" s="583" t="s">
        <v>242</v>
      </c>
      <c r="C1615" s="587">
        <f>SUM(C1595:C1614)</f>
        <v>41835</v>
      </c>
      <c r="D1615" s="587">
        <f t="shared" ref="D1615" si="260">SUM(D1595:D1614)</f>
        <v>26842.350000000006</v>
      </c>
      <c r="E1615" s="953">
        <f>SUM(E1595:E1614)</f>
        <v>47262</v>
      </c>
      <c r="F1615" s="587">
        <f t="shared" ref="F1615:H1615" si="261">SUM(F1595:F1614)</f>
        <v>0</v>
      </c>
      <c r="G1615" s="587">
        <f>SUM(G1595:G1614)</f>
        <v>47262</v>
      </c>
      <c r="H1615" s="587">
        <f t="shared" si="261"/>
        <v>0</v>
      </c>
      <c r="I1615" s="587"/>
      <c r="J1615" s="567"/>
      <c r="K1615" s="691"/>
    </row>
    <row r="1616" spans="1:11" x14ac:dyDescent="0.25">
      <c r="A1616" s="596"/>
      <c r="B1616" s="583"/>
      <c r="C1616" s="564"/>
      <c r="D1616" s="581"/>
      <c r="E1616" s="938"/>
      <c r="F1616" s="564"/>
      <c r="G1616" s="581"/>
      <c r="H1616" s="581"/>
      <c r="I1616" s="581"/>
      <c r="J1616" s="567"/>
      <c r="K1616" s="691"/>
    </row>
    <row r="1617" spans="1:11" x14ac:dyDescent="0.25">
      <c r="A1617" s="915" t="s">
        <v>1087</v>
      </c>
      <c r="B1617" s="916" t="s">
        <v>754</v>
      </c>
      <c r="C1617" s="912">
        <v>2017</v>
      </c>
      <c r="D1617" s="913" t="s">
        <v>1236</v>
      </c>
      <c r="E1617" s="913">
        <v>2018</v>
      </c>
      <c r="F1617" s="913" t="s">
        <v>1236</v>
      </c>
      <c r="G1617" s="913" t="s">
        <v>4</v>
      </c>
      <c r="H1617" s="913">
        <v>2019</v>
      </c>
      <c r="I1617" s="913" t="s">
        <v>5</v>
      </c>
      <c r="J1617" s="567"/>
      <c r="K1617" s="691"/>
    </row>
    <row r="1618" spans="1:11" x14ac:dyDescent="0.25">
      <c r="A1618" s="560" t="s">
        <v>1138</v>
      </c>
      <c r="B1618" s="576" t="s">
        <v>93</v>
      </c>
      <c r="C1618" s="912" t="s">
        <v>6</v>
      </c>
      <c r="D1618" s="914">
        <v>43069</v>
      </c>
      <c r="E1618" s="913" t="s">
        <v>6</v>
      </c>
      <c r="F1618" s="914">
        <v>43131</v>
      </c>
      <c r="G1618" s="914" t="s">
        <v>1131</v>
      </c>
      <c r="H1618" s="914" t="s">
        <v>6</v>
      </c>
      <c r="I1618" s="914" t="s">
        <v>7</v>
      </c>
      <c r="J1618" s="567"/>
      <c r="K1618" s="691"/>
    </row>
    <row r="1619" spans="1:11" x14ac:dyDescent="0.25">
      <c r="A1619" s="575">
        <v>40110</v>
      </c>
      <c r="B1619" s="576" t="s">
        <v>748</v>
      </c>
      <c r="C1619" s="581">
        <v>6820</v>
      </c>
      <c r="D1619" s="582">
        <f>5008.21+122.98+45.32</f>
        <v>5176.5099999999993</v>
      </c>
      <c r="E1619" s="901">
        <v>6219</v>
      </c>
      <c r="F1619" s="581"/>
      <c r="G1619" s="581">
        <v>6219</v>
      </c>
      <c r="H1619" s="581"/>
      <c r="I1619" s="581"/>
      <c r="J1619" s="567"/>
      <c r="K1619" s="691"/>
    </row>
    <row r="1620" spans="1:11" x14ac:dyDescent="0.25">
      <c r="A1620" s="575">
        <v>41410</v>
      </c>
      <c r="B1620" s="576" t="s">
        <v>478</v>
      </c>
      <c r="C1620" s="581"/>
      <c r="D1620" s="582">
        <v>15.38</v>
      </c>
      <c r="E1620" s="901">
        <v>17</v>
      </c>
      <c r="F1620" s="581"/>
      <c r="G1620" s="581">
        <v>17</v>
      </c>
      <c r="H1620" s="581"/>
      <c r="I1620" s="581"/>
      <c r="J1620" s="567"/>
      <c r="K1620" s="691"/>
    </row>
    <row r="1621" spans="1:11" x14ac:dyDescent="0.25">
      <c r="A1621" s="575">
        <v>41430</v>
      </c>
      <c r="B1621" s="576" t="s">
        <v>98</v>
      </c>
      <c r="C1621" s="581"/>
      <c r="D1621" s="582">
        <v>101</v>
      </c>
      <c r="E1621" s="901">
        <v>175</v>
      </c>
      <c r="F1621" s="581"/>
      <c r="G1621" s="581">
        <v>175</v>
      </c>
      <c r="H1621" s="581"/>
      <c r="I1621" s="581"/>
      <c r="J1621" s="567"/>
      <c r="K1621" s="691"/>
    </row>
    <row r="1622" spans="1:11" x14ac:dyDescent="0.25">
      <c r="A1622" s="575">
        <v>41435</v>
      </c>
      <c r="B1622" s="576" t="s">
        <v>1249</v>
      </c>
      <c r="C1622" s="581"/>
      <c r="D1622" s="582">
        <v>0</v>
      </c>
      <c r="E1622" s="901">
        <v>0</v>
      </c>
      <c r="F1622" s="581"/>
      <c r="G1622" s="581">
        <v>0</v>
      </c>
      <c r="H1622" s="581"/>
      <c r="I1622" s="581"/>
      <c r="J1622" s="567"/>
      <c r="K1622" s="691"/>
    </row>
    <row r="1623" spans="1:11" x14ac:dyDescent="0.25">
      <c r="A1623" s="575">
        <v>41440</v>
      </c>
      <c r="B1623" s="576" t="s">
        <v>100</v>
      </c>
      <c r="C1623" s="581"/>
      <c r="D1623" s="582">
        <v>317.07</v>
      </c>
      <c r="E1623" s="901">
        <v>390</v>
      </c>
      <c r="F1623" s="581"/>
      <c r="G1623" s="581">
        <v>390</v>
      </c>
      <c r="H1623" s="581"/>
      <c r="I1623" s="581"/>
      <c r="J1623" s="699"/>
      <c r="K1623" s="700"/>
    </row>
    <row r="1624" spans="1:11" s="569" customFormat="1" x14ac:dyDescent="0.25">
      <c r="A1624" s="575">
        <v>41450</v>
      </c>
      <c r="B1624" s="576" t="s">
        <v>101</v>
      </c>
      <c r="C1624" s="581"/>
      <c r="D1624" s="582">
        <v>74.14</v>
      </c>
      <c r="E1624" s="901">
        <v>91</v>
      </c>
      <c r="F1624" s="581"/>
      <c r="G1624" s="581">
        <v>91</v>
      </c>
      <c r="H1624" s="581"/>
      <c r="I1624" s="581"/>
      <c r="J1624" s="567"/>
      <c r="K1624" s="691"/>
    </row>
    <row r="1625" spans="1:11" x14ac:dyDescent="0.25">
      <c r="A1625" s="575">
        <v>41470</v>
      </c>
      <c r="B1625" s="576" t="s">
        <v>102</v>
      </c>
      <c r="C1625" s="581"/>
      <c r="D1625" s="582">
        <v>1.69</v>
      </c>
      <c r="E1625" s="901">
        <v>2</v>
      </c>
      <c r="F1625" s="581"/>
      <c r="G1625" s="581">
        <v>2</v>
      </c>
      <c r="H1625" s="581"/>
      <c r="I1625" s="581"/>
      <c r="J1625" s="567"/>
      <c r="K1625" s="691"/>
    </row>
    <row r="1626" spans="1:11" x14ac:dyDescent="0.25">
      <c r="A1626" s="575">
        <v>54115</v>
      </c>
      <c r="B1626" s="576" t="s">
        <v>749</v>
      </c>
      <c r="C1626" s="581">
        <v>569</v>
      </c>
      <c r="D1626" s="582">
        <v>11481.12</v>
      </c>
      <c r="E1626" s="901">
        <v>1000</v>
      </c>
      <c r="F1626" s="581"/>
      <c r="G1626" s="581">
        <v>1000</v>
      </c>
      <c r="H1626" s="581"/>
      <c r="I1626" s="581"/>
      <c r="J1626" s="567"/>
      <c r="K1626" s="691"/>
    </row>
    <row r="1627" spans="1:11" x14ac:dyDescent="0.25">
      <c r="A1627" s="575">
        <v>62500</v>
      </c>
      <c r="B1627" s="576" t="s">
        <v>1190</v>
      </c>
      <c r="C1627" s="581"/>
      <c r="D1627" s="582">
        <v>122.68</v>
      </c>
      <c r="E1627" s="901">
        <v>200</v>
      </c>
      <c r="F1627" s="581"/>
      <c r="G1627" s="581">
        <v>200</v>
      </c>
      <c r="H1627" s="581"/>
      <c r="I1627" s="581"/>
      <c r="J1627" s="567"/>
      <c r="K1627" s="691"/>
    </row>
    <row r="1628" spans="1:11" x14ac:dyDescent="0.25">
      <c r="A1628" s="575">
        <v>62510</v>
      </c>
      <c r="B1628" s="576" t="s">
        <v>1208</v>
      </c>
      <c r="C1628" s="581"/>
      <c r="D1628" s="582">
        <v>282.72000000000003</v>
      </c>
      <c r="E1628" s="901">
        <v>200</v>
      </c>
      <c r="F1628" s="581"/>
      <c r="G1628" s="581">
        <v>200</v>
      </c>
      <c r="H1628" s="581"/>
      <c r="I1628" s="581"/>
      <c r="J1628" s="567"/>
      <c r="K1628" s="691"/>
    </row>
    <row r="1629" spans="1:11" x14ac:dyDescent="0.25">
      <c r="A1629" s="575">
        <v>62530</v>
      </c>
      <c r="B1629" s="576" t="s">
        <v>1209</v>
      </c>
      <c r="C1629" s="581"/>
      <c r="D1629" s="582">
        <v>318</v>
      </c>
      <c r="E1629" s="901">
        <v>200</v>
      </c>
      <c r="F1629" s="581"/>
      <c r="G1629" s="581">
        <v>200</v>
      </c>
      <c r="H1629" s="581"/>
      <c r="I1629" s="581"/>
      <c r="J1629" s="567"/>
      <c r="K1629" s="691"/>
    </row>
    <row r="1630" spans="1:11" x14ac:dyDescent="0.25">
      <c r="A1630" s="596"/>
      <c r="B1630" s="583" t="s">
        <v>242</v>
      </c>
      <c r="C1630" s="587">
        <f>SUM(C1619:C1629)</f>
        <v>7389</v>
      </c>
      <c r="D1630" s="589">
        <f t="shared" ref="D1630:H1630" si="262">SUM(D1619:D1629)</f>
        <v>17890.310000000001</v>
      </c>
      <c r="E1630" s="953">
        <f>SUM(E1619:E1629)</f>
        <v>8494</v>
      </c>
      <c r="F1630" s="587">
        <f t="shared" si="262"/>
        <v>0</v>
      </c>
      <c r="G1630" s="587">
        <f>SUM(G1619:G1629)</f>
        <v>8494</v>
      </c>
      <c r="H1630" s="587">
        <f t="shared" si="262"/>
        <v>0</v>
      </c>
      <c r="I1630" s="587"/>
      <c r="J1630" s="567"/>
      <c r="K1630" s="691"/>
    </row>
    <row r="1631" spans="1:11" x14ac:dyDescent="0.25">
      <c r="A1631" s="596"/>
      <c r="B1631" s="583"/>
      <c r="C1631" s="564"/>
      <c r="D1631" s="581"/>
      <c r="E1631" s="583"/>
      <c r="F1631" s="564"/>
      <c r="G1631" s="581"/>
      <c r="H1631" s="581"/>
      <c r="I1631" s="581"/>
      <c r="J1631" s="567"/>
      <c r="K1631" s="691"/>
    </row>
    <row r="1632" spans="1:11" x14ac:dyDescent="0.25">
      <c r="A1632" s="915" t="s">
        <v>1088</v>
      </c>
      <c r="B1632" s="916" t="s">
        <v>755</v>
      </c>
      <c r="C1632" s="912">
        <v>2017</v>
      </c>
      <c r="D1632" s="913" t="s">
        <v>1236</v>
      </c>
      <c r="E1632" s="913">
        <v>2018</v>
      </c>
      <c r="F1632" s="913" t="s">
        <v>1236</v>
      </c>
      <c r="G1632" s="913" t="s">
        <v>4</v>
      </c>
      <c r="H1632" s="913">
        <v>2019</v>
      </c>
      <c r="I1632" s="913" t="s">
        <v>5</v>
      </c>
      <c r="J1632" s="567"/>
      <c r="K1632" s="691"/>
    </row>
    <row r="1633" spans="1:11" x14ac:dyDescent="0.25">
      <c r="A1633" s="560" t="s">
        <v>1138</v>
      </c>
      <c r="B1633" s="576" t="s">
        <v>93</v>
      </c>
      <c r="C1633" s="912" t="s">
        <v>6</v>
      </c>
      <c r="D1633" s="914">
        <v>43069</v>
      </c>
      <c r="E1633" s="913" t="s">
        <v>6</v>
      </c>
      <c r="F1633" s="914">
        <v>43131</v>
      </c>
      <c r="G1633" s="914" t="s">
        <v>1131</v>
      </c>
      <c r="H1633" s="914" t="s">
        <v>6</v>
      </c>
      <c r="I1633" s="914" t="s">
        <v>7</v>
      </c>
      <c r="J1633" s="567"/>
      <c r="K1633" s="691"/>
    </row>
    <row r="1634" spans="1:11" x14ac:dyDescent="0.25">
      <c r="A1634" s="575">
        <v>40110</v>
      </c>
      <c r="B1634" s="576" t="s">
        <v>748</v>
      </c>
      <c r="C1634" s="564">
        <v>2298</v>
      </c>
      <c r="D1634" s="564">
        <f>1012+44</f>
        <v>1056</v>
      </c>
      <c r="E1634" s="901">
        <v>2000</v>
      </c>
      <c r="F1634" s="564"/>
      <c r="G1634" s="564">
        <v>2000</v>
      </c>
      <c r="H1634" s="581"/>
      <c r="I1634" s="581"/>
      <c r="J1634" s="699"/>
      <c r="K1634" s="700"/>
    </row>
    <row r="1635" spans="1:11" x14ac:dyDescent="0.25">
      <c r="A1635" s="575">
        <v>41410</v>
      </c>
      <c r="B1635" s="576" t="s">
        <v>478</v>
      </c>
      <c r="C1635" s="564"/>
      <c r="D1635" s="564">
        <v>3.17</v>
      </c>
      <c r="E1635" s="901">
        <v>6</v>
      </c>
      <c r="F1635" s="564"/>
      <c r="G1635" s="564">
        <v>6</v>
      </c>
      <c r="H1635" s="581"/>
      <c r="I1635" s="581"/>
      <c r="J1635" s="567"/>
      <c r="K1635" s="691"/>
    </row>
    <row r="1636" spans="1:11" x14ac:dyDescent="0.25">
      <c r="A1636" s="575">
        <v>41430</v>
      </c>
      <c r="B1636" s="576" t="s">
        <v>98</v>
      </c>
      <c r="C1636" s="564"/>
      <c r="D1636" s="564">
        <v>0</v>
      </c>
      <c r="E1636" s="901">
        <v>305</v>
      </c>
      <c r="F1636" s="564"/>
      <c r="G1636" s="564">
        <v>305</v>
      </c>
      <c r="H1636" s="581"/>
      <c r="I1636" s="581"/>
      <c r="J1636" s="567"/>
      <c r="K1636" s="691"/>
    </row>
    <row r="1637" spans="1:11" x14ac:dyDescent="0.25">
      <c r="A1637" s="575">
        <v>41440</v>
      </c>
      <c r="B1637" s="576" t="s">
        <v>100</v>
      </c>
      <c r="C1637" s="564"/>
      <c r="D1637" s="564">
        <v>65.47</v>
      </c>
      <c r="E1637" s="901">
        <v>124</v>
      </c>
      <c r="F1637" s="564"/>
      <c r="G1637" s="564">
        <v>124</v>
      </c>
      <c r="H1637" s="581"/>
      <c r="I1637" s="581"/>
      <c r="J1637" s="567"/>
      <c r="K1637" s="691"/>
    </row>
    <row r="1638" spans="1:11" x14ac:dyDescent="0.25">
      <c r="A1638" s="575">
        <v>41450</v>
      </c>
      <c r="B1638" s="576" t="s">
        <v>101</v>
      </c>
      <c r="C1638" s="564"/>
      <c r="D1638" s="564">
        <v>15.31</v>
      </c>
      <c r="E1638" s="901">
        <v>29</v>
      </c>
      <c r="F1638" s="564"/>
      <c r="G1638" s="564">
        <v>29</v>
      </c>
      <c r="H1638" s="581"/>
      <c r="I1638" s="581"/>
      <c r="J1638" s="567"/>
      <c r="K1638" s="691"/>
    </row>
    <row r="1639" spans="1:11" x14ac:dyDescent="0.25">
      <c r="A1639" s="575">
        <v>41470</v>
      </c>
      <c r="B1639" s="576" t="s">
        <v>102</v>
      </c>
      <c r="C1639" s="564"/>
      <c r="D1639" s="564">
        <v>0.5</v>
      </c>
      <c r="E1639" s="901">
        <v>2</v>
      </c>
      <c r="F1639" s="564"/>
      <c r="G1639" s="564">
        <v>2</v>
      </c>
      <c r="H1639" s="581"/>
      <c r="I1639" s="581"/>
      <c r="J1639" s="567"/>
      <c r="K1639" s="691"/>
    </row>
    <row r="1640" spans="1:11" x14ac:dyDescent="0.25">
      <c r="A1640" s="575">
        <v>54115</v>
      </c>
      <c r="B1640" s="576" t="s">
        <v>749</v>
      </c>
      <c r="C1640" s="564">
        <v>668</v>
      </c>
      <c r="D1640" s="564">
        <v>29.63</v>
      </c>
      <c r="E1640" s="901">
        <v>500</v>
      </c>
      <c r="F1640" s="564"/>
      <c r="G1640" s="564">
        <v>500</v>
      </c>
      <c r="H1640" s="581"/>
      <c r="I1640" s="581"/>
      <c r="J1640" s="567"/>
      <c r="K1640" s="691"/>
    </row>
    <row r="1641" spans="1:11" x14ac:dyDescent="0.25">
      <c r="A1641" s="596"/>
      <c r="B1641" s="583" t="s">
        <v>242</v>
      </c>
      <c r="C1641" s="588">
        <f>SUM(C1634:C1640)</f>
        <v>2966</v>
      </c>
      <c r="D1641" s="587">
        <f t="shared" ref="D1641" si="263">SUM(D1634:D1640)</f>
        <v>1170.0800000000002</v>
      </c>
      <c r="E1641" s="953">
        <f>SUM(E1634:E1640)</f>
        <v>2966</v>
      </c>
      <c r="F1641" s="588">
        <f t="shared" ref="F1641:H1641" si="264">SUM(F1634:F1640)</f>
        <v>0</v>
      </c>
      <c r="G1641" s="587">
        <f>SUM(G1634:G1640)</f>
        <v>2966</v>
      </c>
      <c r="H1641" s="587">
        <f t="shared" si="264"/>
        <v>0</v>
      </c>
      <c r="I1641" s="587"/>
      <c r="J1641" s="567"/>
      <c r="K1641" s="691"/>
    </row>
    <row r="1642" spans="1:11" x14ac:dyDescent="0.25">
      <c r="A1642" s="596"/>
      <c r="B1642" s="583"/>
      <c r="C1642" s="564"/>
      <c r="D1642" s="581"/>
      <c r="E1642" s="583"/>
      <c r="F1642" s="564"/>
      <c r="G1642" s="581"/>
      <c r="H1642" s="581"/>
      <c r="I1642" s="581"/>
      <c r="J1642" s="567"/>
      <c r="K1642" s="691"/>
    </row>
    <row r="1643" spans="1:11" x14ac:dyDescent="0.25">
      <c r="A1643" s="915" t="s">
        <v>1089</v>
      </c>
      <c r="B1643" s="916" t="s">
        <v>756</v>
      </c>
      <c r="C1643" s="912">
        <v>2017</v>
      </c>
      <c r="D1643" s="913" t="s">
        <v>1236</v>
      </c>
      <c r="E1643" s="913">
        <v>2018</v>
      </c>
      <c r="F1643" s="913" t="s">
        <v>1236</v>
      </c>
      <c r="G1643" s="913" t="s">
        <v>4</v>
      </c>
      <c r="H1643" s="913">
        <v>2019</v>
      </c>
      <c r="I1643" s="913" t="s">
        <v>5</v>
      </c>
      <c r="J1643" s="567"/>
      <c r="K1643" s="691"/>
    </row>
    <row r="1644" spans="1:11" x14ac:dyDescent="0.25">
      <c r="A1644" s="560" t="s">
        <v>1138</v>
      </c>
      <c r="B1644" s="576" t="s">
        <v>93</v>
      </c>
      <c r="C1644" s="912" t="s">
        <v>6</v>
      </c>
      <c r="D1644" s="914">
        <v>43069</v>
      </c>
      <c r="E1644" s="913" t="s">
        <v>6</v>
      </c>
      <c r="F1644" s="914">
        <v>43131</v>
      </c>
      <c r="G1644" s="914" t="s">
        <v>1131</v>
      </c>
      <c r="H1644" s="914" t="s">
        <v>6</v>
      </c>
      <c r="I1644" s="914" t="s">
        <v>7</v>
      </c>
      <c r="J1644" s="567"/>
      <c r="K1644" s="691"/>
    </row>
    <row r="1645" spans="1:11" x14ac:dyDescent="0.25">
      <c r="A1645" s="575">
        <v>40110</v>
      </c>
      <c r="B1645" s="576" t="s">
        <v>748</v>
      </c>
      <c r="C1645" s="581"/>
      <c r="D1645" s="581"/>
      <c r="E1645" s="581"/>
      <c r="F1645" s="581"/>
      <c r="G1645" s="581"/>
      <c r="H1645" s="581"/>
      <c r="I1645" s="581"/>
      <c r="J1645" s="567"/>
      <c r="K1645" s="691"/>
    </row>
    <row r="1646" spans="1:11" x14ac:dyDescent="0.25">
      <c r="A1646" s="575">
        <v>41410</v>
      </c>
      <c r="B1646" s="576" t="s">
        <v>478</v>
      </c>
      <c r="C1646" s="581"/>
      <c r="D1646" s="581"/>
      <c r="E1646" s="581"/>
      <c r="F1646" s="581"/>
      <c r="G1646" s="581"/>
      <c r="H1646" s="581"/>
      <c r="I1646" s="581"/>
      <c r="J1646" s="699"/>
      <c r="K1646" s="700"/>
    </row>
    <row r="1647" spans="1:11" s="569" customFormat="1" x14ac:dyDescent="0.25">
      <c r="A1647" s="575">
        <v>41420</v>
      </c>
      <c r="B1647" s="576" t="s">
        <v>655</v>
      </c>
      <c r="C1647" s="581"/>
      <c r="D1647" s="581"/>
      <c r="E1647" s="581"/>
      <c r="F1647" s="581"/>
      <c r="G1647" s="581"/>
      <c r="H1647" s="581"/>
      <c r="I1647" s="581"/>
      <c r="J1647" s="567"/>
      <c r="K1647" s="568"/>
    </row>
    <row r="1648" spans="1:11" x14ac:dyDescent="0.25">
      <c r="A1648" s="575">
        <v>41430</v>
      </c>
      <c r="B1648" s="576" t="s">
        <v>98</v>
      </c>
      <c r="C1648" s="581"/>
      <c r="D1648" s="581"/>
      <c r="E1648" s="581"/>
      <c r="F1648" s="581"/>
      <c r="G1648" s="581"/>
      <c r="H1648" s="581"/>
      <c r="I1648" s="581"/>
      <c r="J1648" s="567"/>
      <c r="K1648" s="568"/>
    </row>
    <row r="1649" spans="1:11" x14ac:dyDescent="0.25">
      <c r="A1649" s="575">
        <v>41440</v>
      </c>
      <c r="B1649" s="576" t="s">
        <v>100</v>
      </c>
      <c r="C1649" s="581"/>
      <c r="D1649" s="581"/>
      <c r="E1649" s="581"/>
      <c r="F1649" s="581"/>
      <c r="G1649" s="581"/>
      <c r="H1649" s="581"/>
      <c r="I1649" s="581"/>
      <c r="J1649" s="567"/>
      <c r="K1649" s="568"/>
    </row>
    <row r="1650" spans="1:11" x14ac:dyDescent="0.25">
      <c r="A1650" s="575">
        <v>41450</v>
      </c>
      <c r="B1650" s="576" t="s">
        <v>101</v>
      </c>
      <c r="C1650" s="581"/>
      <c r="D1650" s="581"/>
      <c r="E1650" s="581"/>
      <c r="F1650" s="581"/>
      <c r="G1650" s="581"/>
      <c r="H1650" s="581"/>
      <c r="I1650" s="581"/>
      <c r="J1650" s="567"/>
      <c r="K1650" s="568"/>
    </row>
    <row r="1651" spans="1:11" x14ac:dyDescent="0.25">
      <c r="A1651" s="575">
        <v>41470</v>
      </c>
      <c r="B1651" s="576" t="s">
        <v>102</v>
      </c>
      <c r="C1651" s="581"/>
      <c r="D1651" s="581"/>
      <c r="E1651" s="581"/>
      <c r="F1651" s="581"/>
      <c r="G1651" s="581"/>
      <c r="H1651" s="581"/>
      <c r="I1651" s="581"/>
      <c r="J1651" s="567"/>
      <c r="K1651" s="568"/>
    </row>
    <row r="1652" spans="1:11" x14ac:dyDescent="0.25">
      <c r="A1652" s="575">
        <v>54115</v>
      </c>
      <c r="B1652" s="576" t="s">
        <v>757</v>
      </c>
      <c r="C1652" s="581"/>
      <c r="D1652" s="581"/>
      <c r="E1652" s="581"/>
      <c r="F1652" s="581"/>
      <c r="G1652" s="581"/>
      <c r="H1652" s="581"/>
      <c r="I1652" s="581"/>
      <c r="J1652" s="567"/>
      <c r="K1652" s="568"/>
    </row>
    <row r="1653" spans="1:11" x14ac:dyDescent="0.25">
      <c r="A1653" s="598"/>
      <c r="B1653" s="583" t="s">
        <v>242</v>
      </c>
      <c r="C1653" s="587"/>
      <c r="D1653" s="587"/>
      <c r="E1653" s="583"/>
      <c r="F1653" s="587"/>
      <c r="G1653" s="587"/>
      <c r="H1653" s="587"/>
      <c r="I1653" s="587"/>
      <c r="J1653" s="567"/>
      <c r="K1653" s="568"/>
    </row>
    <row r="1654" spans="1:11" x14ac:dyDescent="0.25">
      <c r="A1654" s="596"/>
      <c r="B1654" s="583"/>
      <c r="C1654" s="564"/>
      <c r="D1654" s="581"/>
      <c r="E1654" s="583"/>
      <c r="F1654" s="564"/>
      <c r="G1654" s="581"/>
      <c r="H1654" s="581"/>
      <c r="I1654" s="581"/>
      <c r="J1654" s="567"/>
      <c r="K1654" s="568"/>
    </row>
    <row r="1655" spans="1:11" x14ac:dyDescent="0.25">
      <c r="A1655" s="599" t="s">
        <v>1090</v>
      </c>
      <c r="B1655" s="571" t="s">
        <v>758</v>
      </c>
      <c r="C1655" s="573">
        <v>2017</v>
      </c>
      <c r="D1655" s="572" t="s">
        <v>1236</v>
      </c>
      <c r="E1655" s="572">
        <v>2018</v>
      </c>
      <c r="F1655" s="913" t="s">
        <v>1236</v>
      </c>
      <c r="G1655" s="913" t="s">
        <v>4</v>
      </c>
      <c r="H1655" s="913">
        <v>2019</v>
      </c>
      <c r="I1655" s="913" t="s">
        <v>5</v>
      </c>
      <c r="J1655" s="567"/>
      <c r="K1655" s="568"/>
    </row>
    <row r="1656" spans="1:11" x14ac:dyDescent="0.25">
      <c r="A1656" s="600" t="s">
        <v>1139</v>
      </c>
      <c r="B1656" s="591" t="s">
        <v>759</v>
      </c>
      <c r="C1656" s="573" t="s">
        <v>6</v>
      </c>
      <c r="D1656" s="574">
        <v>43069</v>
      </c>
      <c r="E1656" s="572" t="s">
        <v>6</v>
      </c>
      <c r="F1656" s="914">
        <v>43131</v>
      </c>
      <c r="G1656" s="914" t="s">
        <v>1131</v>
      </c>
      <c r="H1656" s="914" t="s">
        <v>6</v>
      </c>
      <c r="I1656" s="914" t="s">
        <v>7</v>
      </c>
      <c r="J1656" s="567"/>
      <c r="K1656" s="568"/>
    </row>
    <row r="1657" spans="1:11" x14ac:dyDescent="0.25">
      <c r="A1657" s="600"/>
      <c r="B1657" s="576" t="s">
        <v>93</v>
      </c>
      <c r="C1657" s="581"/>
      <c r="D1657" s="581"/>
      <c r="E1657" s="581"/>
      <c r="F1657" s="581"/>
      <c r="G1657" s="581"/>
      <c r="H1657" s="581"/>
      <c r="I1657" s="581"/>
      <c r="J1657" s="567"/>
      <c r="K1657" s="568"/>
    </row>
    <row r="1658" spans="1:11" x14ac:dyDescent="0.25">
      <c r="A1658" s="575"/>
      <c r="B1658" s="576" t="s">
        <v>748</v>
      </c>
      <c r="C1658" s="581">
        <v>35000</v>
      </c>
      <c r="D1658" s="582">
        <f>30442.72+471.17+891.84+277.64</f>
        <v>32083.37</v>
      </c>
      <c r="E1658" s="901">
        <v>35000</v>
      </c>
      <c r="F1658" s="581"/>
      <c r="G1658" s="581">
        <v>35000</v>
      </c>
      <c r="H1658" s="581"/>
      <c r="I1658" s="581"/>
      <c r="J1658" s="567"/>
      <c r="K1658" s="568"/>
    </row>
    <row r="1659" spans="1:11" x14ac:dyDescent="0.25">
      <c r="A1659" s="575">
        <v>41410</v>
      </c>
      <c r="B1659" s="576" t="s">
        <v>478</v>
      </c>
      <c r="C1659" s="581">
        <v>10000</v>
      </c>
      <c r="D1659" s="582">
        <v>72.98</v>
      </c>
      <c r="E1659" s="901">
        <v>105</v>
      </c>
      <c r="F1659" s="581"/>
      <c r="G1659" s="581">
        <v>105</v>
      </c>
      <c r="H1659" s="581"/>
      <c r="I1659" s="581"/>
      <c r="J1659" s="567"/>
      <c r="K1659" s="568"/>
    </row>
    <row r="1660" spans="1:11" x14ac:dyDescent="0.25">
      <c r="A1660" s="575">
        <v>41420</v>
      </c>
      <c r="B1660" s="576" t="s">
        <v>655</v>
      </c>
      <c r="C1660" s="581">
        <v>963</v>
      </c>
      <c r="D1660" s="582">
        <v>963</v>
      </c>
      <c r="E1660" s="901">
        <v>1395</v>
      </c>
      <c r="F1660" s="581"/>
      <c r="G1660" s="581">
        <v>1395</v>
      </c>
      <c r="H1660" s="581"/>
      <c r="I1660" s="581"/>
      <c r="J1660" s="567"/>
      <c r="K1660" s="568"/>
    </row>
    <row r="1661" spans="1:11" x14ac:dyDescent="0.25">
      <c r="A1661" s="575">
        <v>41430</v>
      </c>
      <c r="B1661" s="576" t="s">
        <v>98</v>
      </c>
      <c r="C1661" s="581">
        <v>0</v>
      </c>
      <c r="D1661" s="582">
        <v>6008.31</v>
      </c>
      <c r="E1661" s="901">
        <v>7807</v>
      </c>
      <c r="F1661" s="581"/>
      <c r="G1661" s="581">
        <v>7807</v>
      </c>
      <c r="H1661" s="581"/>
      <c r="I1661" s="581"/>
      <c r="J1661" s="567"/>
      <c r="K1661" s="568"/>
    </row>
    <row r="1662" spans="1:11" x14ac:dyDescent="0.25">
      <c r="A1662" s="575">
        <v>41440</v>
      </c>
      <c r="B1662" s="576" t="s">
        <v>100</v>
      </c>
      <c r="C1662" s="581">
        <v>2170</v>
      </c>
      <c r="D1662" s="582">
        <v>1595.81</v>
      </c>
      <c r="E1662" s="901">
        <v>2170</v>
      </c>
      <c r="F1662" s="581"/>
      <c r="G1662" s="581">
        <v>2170</v>
      </c>
      <c r="H1662" s="581"/>
      <c r="I1662" s="581"/>
      <c r="J1662" s="567"/>
      <c r="K1662" s="568"/>
    </row>
    <row r="1663" spans="1:11" x14ac:dyDescent="0.25">
      <c r="A1663" s="575">
        <v>41450</v>
      </c>
      <c r="B1663" s="576" t="s">
        <v>101</v>
      </c>
      <c r="C1663" s="581">
        <v>508</v>
      </c>
      <c r="D1663" s="582">
        <v>373.2</v>
      </c>
      <c r="E1663" s="901">
        <v>508</v>
      </c>
      <c r="F1663" s="581"/>
      <c r="G1663" s="581">
        <v>508</v>
      </c>
      <c r="H1663" s="581"/>
      <c r="I1663" s="581"/>
      <c r="J1663" s="567"/>
      <c r="K1663" s="568"/>
    </row>
    <row r="1664" spans="1:11" x14ac:dyDescent="0.25">
      <c r="A1664" s="575">
        <v>41470</v>
      </c>
      <c r="B1664" s="576" t="s">
        <v>102</v>
      </c>
      <c r="C1664" s="581">
        <v>15</v>
      </c>
      <c r="D1664" s="582">
        <v>12.08</v>
      </c>
      <c r="E1664" s="901">
        <v>15</v>
      </c>
      <c r="F1664" s="581"/>
      <c r="G1664" s="581">
        <v>15</v>
      </c>
      <c r="H1664" s="581"/>
      <c r="I1664" s="581"/>
      <c r="J1664" s="567"/>
      <c r="K1664" s="568"/>
    </row>
    <row r="1665" spans="1:11" x14ac:dyDescent="0.25">
      <c r="A1665" s="575">
        <v>54115</v>
      </c>
      <c r="B1665" s="576" t="s">
        <v>757</v>
      </c>
      <c r="C1665" s="581">
        <v>500</v>
      </c>
      <c r="D1665" s="582">
        <v>690.55</v>
      </c>
      <c r="E1665" s="901">
        <v>500</v>
      </c>
      <c r="F1665" s="581"/>
      <c r="G1665" s="581">
        <v>500</v>
      </c>
      <c r="H1665" s="581"/>
      <c r="I1665" s="569"/>
      <c r="J1665" s="567"/>
      <c r="K1665" s="568"/>
    </row>
    <row r="1666" spans="1:11" x14ac:dyDescent="0.25">
      <c r="A1666" s="575">
        <v>60000</v>
      </c>
      <c r="B1666" s="576" t="s">
        <v>760</v>
      </c>
      <c r="C1666" s="581">
        <v>100</v>
      </c>
      <c r="D1666" s="582">
        <v>97.94</v>
      </c>
      <c r="E1666" s="901">
        <v>100</v>
      </c>
      <c r="F1666" s="581"/>
      <c r="G1666" s="581">
        <v>100</v>
      </c>
      <c r="H1666" s="581"/>
      <c r="I1666" s="569"/>
      <c r="J1666" s="567"/>
      <c r="K1666" s="568"/>
    </row>
    <row r="1667" spans="1:11" x14ac:dyDescent="0.25">
      <c r="A1667" s="575">
        <v>62310</v>
      </c>
      <c r="B1667" s="576" t="s">
        <v>108</v>
      </c>
      <c r="C1667" s="581"/>
      <c r="D1667" s="582">
        <v>0</v>
      </c>
      <c r="E1667" s="901">
        <v>0</v>
      </c>
      <c r="F1667" s="581"/>
      <c r="G1667" s="581">
        <v>0</v>
      </c>
      <c r="H1667" s="581"/>
      <c r="I1667" s="569"/>
      <c r="J1667" s="567"/>
      <c r="K1667" s="568"/>
    </row>
    <row r="1668" spans="1:11" x14ac:dyDescent="0.25">
      <c r="A1668" s="575">
        <v>62500</v>
      </c>
      <c r="B1668" s="576" t="s">
        <v>109</v>
      </c>
      <c r="C1668" s="581">
        <v>800</v>
      </c>
      <c r="D1668" s="582">
        <v>150.86000000000001</v>
      </c>
      <c r="E1668" s="901">
        <v>500</v>
      </c>
      <c r="F1668" s="581"/>
      <c r="G1668" s="581">
        <v>500</v>
      </c>
      <c r="H1668" s="581"/>
      <c r="I1668" s="569"/>
      <c r="J1668" s="567"/>
      <c r="K1668" s="568"/>
    </row>
    <row r="1669" spans="1:11" x14ac:dyDescent="0.25">
      <c r="A1669" s="575">
        <v>62510</v>
      </c>
      <c r="B1669" s="576" t="s">
        <v>110</v>
      </c>
      <c r="C1669" s="581">
        <v>200</v>
      </c>
      <c r="D1669" s="582">
        <v>20.059999999999999</v>
      </c>
      <c r="E1669" s="901">
        <v>200</v>
      </c>
      <c r="F1669" s="581"/>
      <c r="G1669" s="581">
        <v>200</v>
      </c>
      <c r="H1669" s="581"/>
      <c r="I1669" s="569"/>
      <c r="J1669" s="567"/>
      <c r="K1669" s="568"/>
    </row>
    <row r="1670" spans="1:11" x14ac:dyDescent="0.25">
      <c r="A1670" s="575">
        <v>62530</v>
      </c>
      <c r="B1670" s="576" t="s">
        <v>171</v>
      </c>
      <c r="C1670" s="581">
        <v>500</v>
      </c>
      <c r="D1670" s="582">
        <v>0</v>
      </c>
      <c r="E1670" s="901">
        <v>500</v>
      </c>
      <c r="F1670" s="581"/>
      <c r="G1670" s="581">
        <v>500</v>
      </c>
      <c r="H1670" s="581"/>
      <c r="I1670" s="569"/>
      <c r="J1670" s="567"/>
      <c r="K1670" s="568"/>
    </row>
    <row r="1671" spans="1:11" x14ac:dyDescent="0.25">
      <c r="A1671" s="575">
        <v>62550</v>
      </c>
      <c r="B1671" s="576" t="s">
        <v>184</v>
      </c>
      <c r="C1671" s="581">
        <v>500</v>
      </c>
      <c r="D1671" s="582">
        <v>341.13</v>
      </c>
      <c r="E1671" s="901">
        <v>500</v>
      </c>
      <c r="F1671" s="581"/>
      <c r="G1671" s="581">
        <v>500</v>
      </c>
      <c r="H1671" s="581"/>
      <c r="I1671" s="569"/>
      <c r="J1671" s="567"/>
      <c r="K1671" s="568"/>
    </row>
    <row r="1672" spans="1:11" x14ac:dyDescent="0.25">
      <c r="A1672" s="575">
        <v>63000</v>
      </c>
      <c r="B1672" s="576" t="s">
        <v>142</v>
      </c>
      <c r="C1672" s="581"/>
      <c r="D1672" s="582">
        <v>0</v>
      </c>
      <c r="E1672" s="901">
        <v>0</v>
      </c>
      <c r="F1672" s="581"/>
      <c r="G1672" s="581">
        <v>0</v>
      </c>
      <c r="H1672" s="581"/>
      <c r="I1672" s="581"/>
      <c r="J1672" s="567"/>
      <c r="K1672" s="568"/>
    </row>
    <row r="1673" spans="1:11" x14ac:dyDescent="0.25">
      <c r="A1673" s="575">
        <v>63210</v>
      </c>
      <c r="B1673" s="576" t="s">
        <v>761</v>
      </c>
      <c r="C1673" s="581"/>
      <c r="D1673" s="582">
        <v>0</v>
      </c>
      <c r="E1673" s="901">
        <v>0</v>
      </c>
      <c r="F1673" s="581"/>
      <c r="G1673" s="581">
        <v>0</v>
      </c>
      <c r="H1673" s="581"/>
      <c r="I1673" s="581"/>
      <c r="J1673" s="567"/>
      <c r="K1673" s="568"/>
    </row>
    <row r="1674" spans="1:11" x14ac:dyDescent="0.25">
      <c r="A1674" s="575">
        <v>64479</v>
      </c>
      <c r="B1674" s="576" t="s">
        <v>762</v>
      </c>
      <c r="C1674" s="581">
        <v>150</v>
      </c>
      <c r="D1674" s="582">
        <v>0</v>
      </c>
      <c r="E1674" s="901">
        <v>0</v>
      </c>
      <c r="F1674" s="581"/>
      <c r="G1674" s="581">
        <v>0</v>
      </c>
      <c r="H1674" s="581"/>
      <c r="I1674" s="581"/>
      <c r="J1674" s="567"/>
      <c r="K1674" s="568"/>
    </row>
    <row r="1675" spans="1:11" x14ac:dyDescent="0.25">
      <c r="A1675" s="575">
        <v>65200</v>
      </c>
      <c r="B1675" s="576" t="s">
        <v>763</v>
      </c>
      <c r="C1675" s="581">
        <v>500</v>
      </c>
      <c r="D1675" s="582">
        <v>0</v>
      </c>
      <c r="E1675" s="901">
        <v>300</v>
      </c>
      <c r="F1675" s="581"/>
      <c r="G1675" s="581">
        <v>300</v>
      </c>
      <c r="H1675" s="581"/>
      <c r="I1675" s="581"/>
      <c r="J1675" s="567"/>
      <c r="K1675" s="568"/>
    </row>
    <row r="1676" spans="1:11" x14ac:dyDescent="0.25">
      <c r="A1676" s="575">
        <v>65300</v>
      </c>
      <c r="B1676" s="576" t="s">
        <v>764</v>
      </c>
      <c r="C1676" s="581">
        <v>700</v>
      </c>
      <c r="D1676" s="582">
        <v>160</v>
      </c>
      <c r="E1676" s="901">
        <v>400</v>
      </c>
      <c r="F1676" s="581"/>
      <c r="G1676" s="581">
        <v>400</v>
      </c>
      <c r="H1676" s="581"/>
      <c r="I1676" s="581"/>
      <c r="J1676" s="655"/>
      <c r="K1676" s="568"/>
    </row>
    <row r="1677" spans="1:11" s="569" customFormat="1" x14ac:dyDescent="0.25">
      <c r="A1677" s="575">
        <v>65400</v>
      </c>
      <c r="B1677" s="576" t="s">
        <v>152</v>
      </c>
      <c r="C1677" s="581">
        <v>600</v>
      </c>
      <c r="D1677" s="582">
        <v>135.57</v>
      </c>
      <c r="E1677" s="901">
        <v>500</v>
      </c>
      <c r="F1677" s="581"/>
      <c r="G1677" s="581">
        <v>500</v>
      </c>
      <c r="H1677" s="581"/>
      <c r="I1677" s="581"/>
      <c r="J1677" s="567"/>
      <c r="K1677" s="568"/>
    </row>
    <row r="1678" spans="1:11" x14ac:dyDescent="0.25">
      <c r="A1678" s="575">
        <v>65500</v>
      </c>
      <c r="B1678" s="576" t="s">
        <v>212</v>
      </c>
      <c r="C1678" s="581">
        <v>900</v>
      </c>
      <c r="D1678" s="582">
        <v>230.73</v>
      </c>
      <c r="E1678" s="901">
        <v>500</v>
      </c>
      <c r="F1678" s="581"/>
      <c r="G1678" s="581">
        <v>500</v>
      </c>
      <c r="H1678" s="581"/>
      <c r="I1678" s="581"/>
      <c r="J1678" s="567"/>
      <c r="K1678" s="568"/>
    </row>
    <row r="1679" spans="1:11" x14ac:dyDescent="0.25">
      <c r="A1679" s="575">
        <v>65700</v>
      </c>
      <c r="B1679" s="576" t="s">
        <v>765</v>
      </c>
      <c r="C1679" s="581">
        <v>850</v>
      </c>
      <c r="D1679" s="582">
        <v>195</v>
      </c>
      <c r="E1679" s="901">
        <v>250</v>
      </c>
      <c r="F1679" s="581"/>
      <c r="G1679" s="581">
        <v>250</v>
      </c>
      <c r="H1679" s="581"/>
      <c r="I1679" s="581"/>
      <c r="J1679" s="567"/>
      <c r="K1679" s="568"/>
    </row>
    <row r="1680" spans="1:11" x14ac:dyDescent="0.25">
      <c r="A1680" s="575">
        <v>66100</v>
      </c>
      <c r="B1680" s="576" t="s">
        <v>155</v>
      </c>
      <c r="C1680" s="581">
        <v>670</v>
      </c>
      <c r="D1680" s="582">
        <v>0</v>
      </c>
      <c r="E1680" s="901">
        <v>1805</v>
      </c>
      <c r="F1680" s="581"/>
      <c r="G1680" s="581">
        <v>1805</v>
      </c>
      <c r="H1680" s="581"/>
      <c r="I1680" s="581"/>
      <c r="J1680" s="567"/>
      <c r="K1680" s="568"/>
    </row>
    <row r="1681" spans="1:11" x14ac:dyDescent="0.25">
      <c r="A1681" s="575">
        <v>68010</v>
      </c>
      <c r="B1681" s="576" t="s">
        <v>166</v>
      </c>
      <c r="C1681" s="581">
        <v>1200</v>
      </c>
      <c r="D1681" s="582">
        <v>1252.5</v>
      </c>
      <c r="E1681" s="901">
        <v>1200</v>
      </c>
      <c r="F1681" s="581"/>
      <c r="G1681" s="581">
        <v>1200</v>
      </c>
      <c r="H1681" s="581"/>
      <c r="I1681" s="581"/>
      <c r="J1681" s="567"/>
      <c r="K1681" s="568"/>
    </row>
    <row r="1682" spans="1:11" x14ac:dyDescent="0.25">
      <c r="A1682" s="575">
        <v>69999</v>
      </c>
      <c r="B1682" s="576" t="s">
        <v>355</v>
      </c>
      <c r="C1682" s="581">
        <v>1500</v>
      </c>
      <c r="D1682" s="582">
        <v>1697.03</v>
      </c>
      <c r="E1682" s="901">
        <v>745</v>
      </c>
      <c r="F1682" s="581"/>
      <c r="G1682" s="581">
        <v>745</v>
      </c>
      <c r="H1682" s="581"/>
      <c r="I1682" s="581"/>
      <c r="J1682" s="567"/>
      <c r="K1682" s="568"/>
    </row>
    <row r="1683" spans="1:11" x14ac:dyDescent="0.25">
      <c r="A1683" s="596"/>
      <c r="B1683" s="583" t="s">
        <v>242</v>
      </c>
      <c r="C1683" s="587">
        <f>SUM(C1658:C1682)</f>
        <v>58326</v>
      </c>
      <c r="D1683" s="587">
        <f t="shared" ref="D1683" si="265">SUM(D1658:D1682)</f>
        <v>46080.119999999995</v>
      </c>
      <c r="E1683" s="953">
        <f>SUM(E1658:E1682)</f>
        <v>55000</v>
      </c>
      <c r="F1683" s="587">
        <f t="shared" ref="F1683" si="266">SUM(F1658:F1682)</f>
        <v>0</v>
      </c>
      <c r="G1683" s="587">
        <f>SUM(G1658:G1682)</f>
        <v>55000</v>
      </c>
      <c r="H1683" s="587"/>
      <c r="I1683" s="587"/>
      <c r="J1683" s="567"/>
      <c r="K1683" s="568"/>
    </row>
    <row r="1684" spans="1:11" x14ac:dyDescent="0.25">
      <c r="A1684" s="596"/>
      <c r="B1684" s="583"/>
      <c r="C1684" s="564"/>
      <c r="D1684" s="576"/>
      <c r="E1684" s="583"/>
      <c r="F1684" s="564"/>
      <c r="G1684" s="581"/>
      <c r="H1684" s="581"/>
      <c r="I1684" s="581"/>
      <c r="J1684" s="567"/>
      <c r="K1684" s="568"/>
    </row>
    <row r="1685" spans="1:11" x14ac:dyDescent="0.25">
      <c r="A1685" s="560"/>
      <c r="B1685" s="561"/>
      <c r="C1685" s="564"/>
      <c r="D1685" s="745"/>
      <c r="E1685" s="561"/>
      <c r="F1685" s="564"/>
      <c r="G1685" s="581"/>
      <c r="H1685" s="581"/>
      <c r="I1685" s="581"/>
      <c r="J1685" s="567"/>
      <c r="K1685" s="568"/>
    </row>
    <row r="1686" spans="1:11" x14ac:dyDescent="0.25">
      <c r="A1686" s="915" t="s">
        <v>1091</v>
      </c>
      <c r="B1686" s="918" t="s">
        <v>1092</v>
      </c>
      <c r="C1686" s="912">
        <v>2017</v>
      </c>
      <c r="D1686" s="913" t="s">
        <v>1236</v>
      </c>
      <c r="E1686" s="913">
        <v>2018</v>
      </c>
      <c r="F1686" s="913" t="s">
        <v>1236</v>
      </c>
      <c r="G1686" s="913" t="s">
        <v>4</v>
      </c>
      <c r="H1686" s="913">
        <v>2019</v>
      </c>
      <c r="I1686" s="913" t="s">
        <v>5</v>
      </c>
      <c r="J1686" s="567"/>
      <c r="K1686" s="568"/>
    </row>
    <row r="1687" spans="1:11" x14ac:dyDescent="0.25">
      <c r="A1687" s="724"/>
      <c r="B1687" s="564"/>
      <c r="C1687" s="912" t="s">
        <v>6</v>
      </c>
      <c r="D1687" s="914">
        <v>43069</v>
      </c>
      <c r="E1687" s="913" t="s">
        <v>6</v>
      </c>
      <c r="F1687" s="914">
        <v>43131</v>
      </c>
      <c r="G1687" s="914" t="s">
        <v>1131</v>
      </c>
      <c r="H1687" s="914" t="s">
        <v>6</v>
      </c>
      <c r="I1687" s="914" t="s">
        <v>7</v>
      </c>
      <c r="J1687" s="567"/>
      <c r="K1687" s="568"/>
    </row>
    <row r="1688" spans="1:11" x14ac:dyDescent="0.25">
      <c r="A1688" s="605">
        <v>40110</v>
      </c>
      <c r="B1688" s="606" t="s">
        <v>1251</v>
      </c>
      <c r="C1688" s="582">
        <v>65354</v>
      </c>
      <c r="D1688" s="582">
        <f>49914.98+1225.09+1021.92+849.64</f>
        <v>53011.63</v>
      </c>
      <c r="E1688" s="970">
        <v>66228</v>
      </c>
      <c r="F1688" s="611"/>
      <c r="G1688" s="814">
        <v>66228</v>
      </c>
      <c r="H1688" s="814"/>
      <c r="I1688" s="919"/>
      <c r="J1688" s="567"/>
      <c r="K1688" s="568"/>
    </row>
    <row r="1689" spans="1:11" x14ac:dyDescent="0.25">
      <c r="A1689" s="605">
        <v>41410</v>
      </c>
      <c r="B1689" s="606" t="s">
        <v>1246</v>
      </c>
      <c r="C1689" s="711">
        <v>70</v>
      </c>
      <c r="D1689" s="582">
        <v>163.89</v>
      </c>
      <c r="E1689" s="961">
        <v>199</v>
      </c>
      <c r="F1689" s="582"/>
      <c r="G1689" s="696">
        <v>199</v>
      </c>
      <c r="H1689" s="696"/>
      <c r="I1689" s="581"/>
      <c r="J1689" s="567"/>
      <c r="K1689" s="568"/>
    </row>
    <row r="1690" spans="1:11" x14ac:dyDescent="0.25">
      <c r="A1690" s="605">
        <v>41420</v>
      </c>
      <c r="B1690" s="606" t="s">
        <v>511</v>
      </c>
      <c r="C1690" s="582">
        <v>14500</v>
      </c>
      <c r="D1690" s="582">
        <v>0</v>
      </c>
      <c r="E1690" s="961">
        <v>468</v>
      </c>
      <c r="F1690" s="582"/>
      <c r="G1690" s="582">
        <v>468</v>
      </c>
      <c r="H1690" s="582"/>
      <c r="I1690" s="581"/>
      <c r="J1690" s="567"/>
      <c r="K1690" s="568"/>
    </row>
    <row r="1691" spans="1:11" x14ac:dyDescent="0.25">
      <c r="A1691" s="605">
        <v>41430</v>
      </c>
      <c r="B1691" s="606" t="s">
        <v>98</v>
      </c>
      <c r="C1691" s="582">
        <v>0</v>
      </c>
      <c r="D1691" s="582">
        <v>7852.18</v>
      </c>
      <c r="E1691" s="961">
        <v>8292</v>
      </c>
      <c r="F1691" s="582"/>
      <c r="G1691" s="582">
        <v>8292</v>
      </c>
      <c r="H1691" s="582"/>
      <c r="I1691" s="581"/>
      <c r="J1691" s="567"/>
      <c r="K1691" s="568"/>
    </row>
    <row r="1692" spans="1:11" s="569" customFormat="1" x14ac:dyDescent="0.25">
      <c r="A1692" s="605">
        <v>41435</v>
      </c>
      <c r="B1692" s="606" t="s">
        <v>121</v>
      </c>
      <c r="C1692" s="582"/>
      <c r="D1692" s="582">
        <v>5348.85</v>
      </c>
      <c r="E1692" s="961">
        <v>4940</v>
      </c>
      <c r="F1692" s="582"/>
      <c r="G1692" s="582">
        <v>4940</v>
      </c>
      <c r="H1692" s="582"/>
      <c r="I1692" s="581"/>
      <c r="J1692" s="567"/>
      <c r="K1692" s="568"/>
    </row>
    <row r="1693" spans="1:11" x14ac:dyDescent="0.25">
      <c r="A1693" s="605">
        <v>41440</v>
      </c>
      <c r="B1693" s="606" t="s">
        <v>100</v>
      </c>
      <c r="C1693" s="582">
        <v>4052</v>
      </c>
      <c r="D1693" s="582">
        <v>3475.73</v>
      </c>
      <c r="E1693" s="961">
        <v>4106</v>
      </c>
      <c r="F1693" s="582"/>
      <c r="G1693" s="582">
        <v>4106</v>
      </c>
      <c r="H1693" s="582"/>
      <c r="I1693" s="581"/>
      <c r="J1693" s="567"/>
      <c r="K1693" s="568"/>
    </row>
    <row r="1694" spans="1:11" x14ac:dyDescent="0.25">
      <c r="A1694" s="605">
        <v>41450</v>
      </c>
      <c r="B1694" s="606" t="s">
        <v>101</v>
      </c>
      <c r="C1694" s="582">
        <v>948</v>
      </c>
      <c r="D1694" s="582">
        <v>812.89</v>
      </c>
      <c r="E1694" s="961">
        <v>960</v>
      </c>
      <c r="F1694" s="582"/>
      <c r="G1694" s="582">
        <v>960</v>
      </c>
      <c r="H1694" s="582"/>
      <c r="I1694" s="581"/>
      <c r="J1694" s="567"/>
      <c r="K1694" s="568"/>
    </row>
    <row r="1695" spans="1:11" x14ac:dyDescent="0.25">
      <c r="A1695" s="605">
        <v>41470</v>
      </c>
      <c r="B1695" s="606" t="s">
        <v>102</v>
      </c>
      <c r="C1695" s="582">
        <v>45</v>
      </c>
      <c r="D1695" s="582">
        <v>30.04</v>
      </c>
      <c r="E1695" s="961">
        <v>35</v>
      </c>
      <c r="F1695" s="582"/>
      <c r="G1695" s="582">
        <v>35</v>
      </c>
      <c r="H1695" s="582"/>
      <c r="I1695" s="581"/>
      <c r="J1695" s="567"/>
      <c r="K1695" s="568"/>
    </row>
    <row r="1696" spans="1:11" x14ac:dyDescent="0.25">
      <c r="A1696" s="605">
        <v>54112</v>
      </c>
      <c r="B1696" s="606" t="s">
        <v>766</v>
      </c>
      <c r="C1696" s="582">
        <v>500</v>
      </c>
      <c r="D1696" s="582">
        <v>149.84</v>
      </c>
      <c r="E1696" s="961">
        <v>537</v>
      </c>
      <c r="F1696" s="582"/>
      <c r="G1696" s="582">
        <v>537</v>
      </c>
      <c r="H1696" s="582"/>
      <c r="I1696" s="581"/>
      <c r="J1696" s="567"/>
      <c r="K1696" s="568"/>
    </row>
    <row r="1697" spans="1:11" x14ac:dyDescent="0.25">
      <c r="A1697" s="575">
        <v>62310</v>
      </c>
      <c r="B1697" s="576" t="s">
        <v>108</v>
      </c>
      <c r="C1697" s="582">
        <v>0</v>
      </c>
      <c r="D1697" s="582">
        <v>0</v>
      </c>
      <c r="E1697" s="961">
        <v>0</v>
      </c>
      <c r="F1697" s="582"/>
      <c r="G1697" s="582">
        <v>0</v>
      </c>
      <c r="H1697" s="582"/>
      <c r="I1697" s="581"/>
      <c r="J1697" s="567"/>
      <c r="K1697" s="568"/>
    </row>
    <row r="1698" spans="1:11" x14ac:dyDescent="0.25">
      <c r="A1698" s="605">
        <v>62500</v>
      </c>
      <c r="B1698" s="606" t="s">
        <v>109</v>
      </c>
      <c r="C1698" s="582">
        <v>2859</v>
      </c>
      <c r="D1698" s="582">
        <v>623.03</v>
      </c>
      <c r="E1698" s="961">
        <v>750</v>
      </c>
      <c r="F1698" s="582"/>
      <c r="G1698" s="582">
        <v>750</v>
      </c>
      <c r="H1698" s="582"/>
      <c r="I1698" s="581"/>
      <c r="J1698" s="567"/>
      <c r="K1698" s="568"/>
    </row>
    <row r="1699" spans="1:11" x14ac:dyDescent="0.25">
      <c r="A1699" s="605">
        <v>62510</v>
      </c>
      <c r="B1699" s="606" t="s">
        <v>110</v>
      </c>
      <c r="C1699" s="582">
        <v>150</v>
      </c>
      <c r="D1699" s="582">
        <v>207.3</v>
      </c>
      <c r="E1699" s="961">
        <v>300</v>
      </c>
      <c r="F1699" s="582"/>
      <c r="G1699" s="582">
        <v>300</v>
      </c>
      <c r="H1699" s="582"/>
      <c r="I1699" s="581"/>
      <c r="J1699" s="567"/>
      <c r="K1699" s="568"/>
    </row>
    <row r="1700" spans="1:11" x14ac:dyDescent="0.25">
      <c r="A1700" s="605">
        <v>62530</v>
      </c>
      <c r="B1700" s="606" t="s">
        <v>171</v>
      </c>
      <c r="C1700" s="582">
        <v>150</v>
      </c>
      <c r="D1700" s="582">
        <v>0</v>
      </c>
      <c r="E1700" s="961">
        <v>150</v>
      </c>
      <c r="F1700" s="582"/>
      <c r="G1700" s="582">
        <v>150</v>
      </c>
      <c r="H1700" s="582"/>
      <c r="I1700" s="581"/>
      <c r="J1700" s="567"/>
      <c r="K1700" s="568"/>
    </row>
    <row r="1701" spans="1:11" x14ac:dyDescent="0.25">
      <c r="A1701" s="575">
        <v>64479</v>
      </c>
      <c r="B1701" s="576" t="s">
        <v>1156</v>
      </c>
      <c r="C1701" s="582">
        <v>200</v>
      </c>
      <c r="D1701" s="582">
        <v>0</v>
      </c>
      <c r="E1701" s="961">
        <v>0</v>
      </c>
      <c r="F1701" s="582"/>
      <c r="G1701" s="582">
        <v>0</v>
      </c>
      <c r="H1701" s="582"/>
      <c r="I1701" s="581"/>
      <c r="J1701" s="567"/>
      <c r="K1701" s="568"/>
    </row>
    <row r="1702" spans="1:11" x14ac:dyDescent="0.25">
      <c r="A1702" s="575">
        <v>65500</v>
      </c>
      <c r="B1702" s="576" t="s">
        <v>1155</v>
      </c>
      <c r="C1702" s="582">
        <v>2800</v>
      </c>
      <c r="D1702" s="582">
        <v>180.87</v>
      </c>
      <c r="E1702" s="961">
        <v>800</v>
      </c>
      <c r="F1702" s="582"/>
      <c r="G1702" s="582">
        <v>800</v>
      </c>
      <c r="H1702" s="582"/>
      <c r="I1702" s="581"/>
      <c r="J1702" s="567"/>
      <c r="K1702" s="568"/>
    </row>
    <row r="1703" spans="1:11" x14ac:dyDescent="0.25">
      <c r="A1703" s="575">
        <v>66100</v>
      </c>
      <c r="B1703" s="576" t="s">
        <v>1120</v>
      </c>
      <c r="C1703" s="582">
        <v>0</v>
      </c>
      <c r="D1703" s="582">
        <v>0</v>
      </c>
      <c r="E1703" s="961">
        <v>1135</v>
      </c>
      <c r="F1703" s="582"/>
      <c r="G1703" s="582">
        <v>1135</v>
      </c>
      <c r="H1703" s="582"/>
      <c r="I1703" s="581"/>
      <c r="J1703" s="567"/>
      <c r="K1703" s="568"/>
    </row>
    <row r="1704" spans="1:11" x14ac:dyDescent="0.25">
      <c r="A1704" s="575">
        <v>68010</v>
      </c>
      <c r="B1704" s="576" t="s">
        <v>166</v>
      </c>
      <c r="C1704" s="582">
        <v>600</v>
      </c>
      <c r="D1704" s="582">
        <v>302.5</v>
      </c>
      <c r="E1704" s="961">
        <v>600</v>
      </c>
      <c r="F1704" s="582"/>
      <c r="G1704" s="582">
        <v>600</v>
      </c>
      <c r="H1704" s="582"/>
      <c r="I1704" s="581"/>
      <c r="J1704" s="567"/>
      <c r="K1704" s="568"/>
    </row>
    <row r="1705" spans="1:11" x14ac:dyDescent="0.25">
      <c r="A1705" s="575">
        <v>69999</v>
      </c>
      <c r="B1705" s="576" t="s">
        <v>1213</v>
      </c>
      <c r="C1705" s="582">
        <v>2350</v>
      </c>
      <c r="D1705" s="582">
        <v>2860.41</v>
      </c>
      <c r="E1705" s="961">
        <v>0</v>
      </c>
      <c r="F1705" s="582"/>
      <c r="G1705" s="582">
        <v>0</v>
      </c>
      <c r="H1705" s="582"/>
      <c r="I1705" s="581"/>
      <c r="J1705" s="699"/>
      <c r="K1705" s="700"/>
    </row>
    <row r="1706" spans="1:11" s="569" customFormat="1" ht="15" customHeight="1" x14ac:dyDescent="0.25">
      <c r="A1706" s="575">
        <v>70005</v>
      </c>
      <c r="B1706" s="576" t="s">
        <v>1154</v>
      </c>
      <c r="C1706" s="582">
        <v>500</v>
      </c>
      <c r="D1706" s="582">
        <v>116.44</v>
      </c>
      <c r="E1706" s="961">
        <v>500</v>
      </c>
      <c r="F1706" s="582"/>
      <c r="G1706" s="582">
        <v>500</v>
      </c>
      <c r="H1706" s="582"/>
      <c r="I1706" s="581"/>
      <c r="J1706" s="567"/>
      <c r="K1706" s="568"/>
    </row>
    <row r="1707" spans="1:11" x14ac:dyDescent="0.25">
      <c r="A1707" s="608"/>
      <c r="B1707" s="608" t="s">
        <v>242</v>
      </c>
      <c r="C1707" s="589">
        <f>SUM(C1688:C1706)</f>
        <v>95078</v>
      </c>
      <c r="D1707" s="589">
        <f>SUM(D1688:D1706)</f>
        <v>75135.599999999991</v>
      </c>
      <c r="E1707" s="971">
        <f>SUM(E1688:E1706)</f>
        <v>90000</v>
      </c>
      <c r="F1707" s="589"/>
      <c r="G1707" s="589">
        <f>SUM(G1688:G1706)</f>
        <v>90000</v>
      </c>
      <c r="H1707" s="589"/>
      <c r="I1707" s="587"/>
    </row>
    <row r="1708" spans="1:11" x14ac:dyDescent="0.25">
      <c r="A1708" s="590"/>
      <c r="B1708" s="576"/>
      <c r="C1708" s="564"/>
      <c r="D1708" s="576"/>
      <c r="E1708" s="576"/>
      <c r="F1708" s="564"/>
      <c r="G1708" s="581"/>
      <c r="H1708" s="581"/>
      <c r="I1708" s="581"/>
      <c r="J1708" s="567"/>
      <c r="K1708" s="568"/>
    </row>
    <row r="1709" spans="1:11" x14ac:dyDescent="0.25">
      <c r="A1709" s="560"/>
      <c r="B1709" s="561"/>
      <c r="C1709" s="564"/>
      <c r="D1709" s="576"/>
      <c r="E1709" s="561"/>
      <c r="F1709" s="564"/>
      <c r="G1709" s="581"/>
      <c r="H1709" s="581"/>
      <c r="I1709" s="581"/>
      <c r="J1709" s="567"/>
      <c r="K1709" s="568"/>
    </row>
    <row r="1710" spans="1:11" x14ac:dyDescent="0.25">
      <c r="A1710" s="603" t="s">
        <v>1093</v>
      </c>
      <c r="B1710" s="604" t="s">
        <v>767</v>
      </c>
      <c r="C1710" s="573">
        <v>2017</v>
      </c>
      <c r="D1710" s="572" t="s">
        <v>1236</v>
      </c>
      <c r="E1710" s="572">
        <v>2018</v>
      </c>
      <c r="F1710" s="913" t="s">
        <v>1236</v>
      </c>
      <c r="G1710" s="913" t="s">
        <v>4</v>
      </c>
      <c r="H1710" s="913">
        <v>2019</v>
      </c>
      <c r="I1710" s="913" t="s">
        <v>5</v>
      </c>
      <c r="J1710" s="567"/>
      <c r="K1710" s="568"/>
    </row>
    <row r="1711" spans="1:11" x14ac:dyDescent="0.25">
      <c r="A1711" s="560"/>
      <c r="B1711" s="576" t="s">
        <v>93</v>
      </c>
      <c r="C1711" s="573" t="s">
        <v>6</v>
      </c>
      <c r="D1711" s="574">
        <v>43069</v>
      </c>
      <c r="E1711" s="572" t="s">
        <v>6</v>
      </c>
      <c r="F1711" s="914">
        <v>43131</v>
      </c>
      <c r="G1711" s="914" t="s">
        <v>1131</v>
      </c>
      <c r="H1711" s="914" t="s">
        <v>6</v>
      </c>
      <c r="I1711" s="914" t="s">
        <v>7</v>
      </c>
      <c r="J1711" s="567"/>
      <c r="K1711" s="568"/>
    </row>
    <row r="1712" spans="1:11" x14ac:dyDescent="0.25">
      <c r="A1712" s="575">
        <v>40110</v>
      </c>
      <c r="B1712" s="576" t="s">
        <v>283</v>
      </c>
      <c r="C1712" s="581">
        <v>5500</v>
      </c>
      <c r="D1712" s="581">
        <f>7692.5+620+979.2</f>
        <v>9291.7000000000007</v>
      </c>
      <c r="E1712" s="901">
        <v>9724</v>
      </c>
      <c r="F1712" s="581"/>
      <c r="G1712" s="581">
        <v>9724</v>
      </c>
      <c r="H1712" s="581"/>
      <c r="I1712" s="581"/>
      <c r="J1712" s="567"/>
      <c r="K1712" s="568"/>
    </row>
    <row r="1713" spans="1:11" x14ac:dyDescent="0.25">
      <c r="A1713" s="575">
        <v>41410</v>
      </c>
      <c r="B1713" s="576" t="s">
        <v>478</v>
      </c>
      <c r="C1713" s="581">
        <v>37</v>
      </c>
      <c r="D1713" s="581">
        <v>27.19</v>
      </c>
      <c r="E1713" s="901">
        <v>30</v>
      </c>
      <c r="F1713" s="581"/>
      <c r="G1713" s="581">
        <v>30</v>
      </c>
      <c r="H1713" s="581"/>
      <c r="I1713" s="581"/>
      <c r="J1713" s="567"/>
      <c r="K1713" s="568"/>
    </row>
    <row r="1714" spans="1:11" x14ac:dyDescent="0.25">
      <c r="A1714" s="575">
        <v>41430</v>
      </c>
      <c r="B1714" s="576" t="s">
        <v>98</v>
      </c>
      <c r="C1714" s="581">
        <v>2400</v>
      </c>
      <c r="D1714" s="581">
        <v>412.93</v>
      </c>
      <c r="E1714" s="901">
        <v>1393</v>
      </c>
      <c r="F1714" s="581"/>
      <c r="G1714" s="581">
        <v>1393</v>
      </c>
      <c r="H1714" s="581"/>
      <c r="I1714" s="581"/>
      <c r="J1714" s="567"/>
      <c r="K1714" s="568"/>
    </row>
    <row r="1715" spans="1:11" x14ac:dyDescent="0.25">
      <c r="A1715" s="575">
        <v>41440</v>
      </c>
      <c r="B1715" s="576" t="s">
        <v>100</v>
      </c>
      <c r="C1715" s="581">
        <v>341</v>
      </c>
      <c r="D1715" s="581">
        <v>562.02</v>
      </c>
      <c r="E1715" s="901">
        <v>603</v>
      </c>
      <c r="F1715" s="581"/>
      <c r="G1715" s="581">
        <v>603</v>
      </c>
      <c r="H1715" s="581"/>
      <c r="I1715" s="581"/>
      <c r="J1715" s="567"/>
      <c r="K1715" s="568"/>
    </row>
    <row r="1716" spans="1:11" x14ac:dyDescent="0.25">
      <c r="A1716" s="575">
        <v>41450</v>
      </c>
      <c r="B1716" s="576" t="s">
        <v>101</v>
      </c>
      <c r="C1716" s="581">
        <v>80</v>
      </c>
      <c r="D1716" s="581">
        <v>131.43</v>
      </c>
      <c r="E1716" s="901">
        <v>141</v>
      </c>
      <c r="F1716" s="581"/>
      <c r="G1716" s="581">
        <v>141</v>
      </c>
      <c r="H1716" s="581"/>
      <c r="I1716" s="581"/>
      <c r="J1716" s="567"/>
      <c r="K1716" s="568"/>
    </row>
    <row r="1717" spans="1:11" x14ac:dyDescent="0.25">
      <c r="A1717" s="575">
        <v>41470</v>
      </c>
      <c r="B1717" s="576" t="s">
        <v>102</v>
      </c>
      <c r="C1717" s="581"/>
      <c r="D1717" s="581">
        <v>4.5999999999999996</v>
      </c>
      <c r="E1717" s="901">
        <v>7</v>
      </c>
      <c r="F1717" s="581"/>
      <c r="G1717" s="581">
        <v>7</v>
      </c>
      <c r="H1717" s="581"/>
      <c r="I1717" s="581"/>
      <c r="J1717" s="699"/>
      <c r="K1717" s="700"/>
    </row>
    <row r="1718" spans="1:11" x14ac:dyDescent="0.25">
      <c r="A1718" s="590">
        <v>54114</v>
      </c>
      <c r="B1718" s="576" t="s">
        <v>203</v>
      </c>
      <c r="C1718" s="581"/>
      <c r="D1718" s="581">
        <v>167.98</v>
      </c>
      <c r="E1718" s="901">
        <v>0</v>
      </c>
      <c r="F1718" s="581"/>
      <c r="G1718" s="581">
        <v>0</v>
      </c>
      <c r="H1718" s="581"/>
      <c r="I1718" s="581"/>
      <c r="J1718" s="567"/>
      <c r="K1718" s="568"/>
    </row>
    <row r="1719" spans="1:11" s="569" customFormat="1" x14ac:dyDescent="0.25">
      <c r="A1719" s="590">
        <v>62500</v>
      </c>
      <c r="B1719" s="576" t="s">
        <v>109</v>
      </c>
      <c r="C1719" s="581"/>
      <c r="D1719" s="581">
        <v>256.20999999999998</v>
      </c>
      <c r="E1719" s="901">
        <v>152</v>
      </c>
      <c r="F1719" s="581"/>
      <c r="G1719" s="581">
        <v>152</v>
      </c>
      <c r="H1719" s="581"/>
      <c r="I1719" s="581"/>
      <c r="J1719" s="779"/>
      <c r="K1719" s="568"/>
    </row>
    <row r="1720" spans="1:11" x14ac:dyDescent="0.25">
      <c r="A1720" s="899">
        <v>63011</v>
      </c>
      <c r="B1720" s="900" t="s">
        <v>1218</v>
      </c>
      <c r="C1720" s="581">
        <v>0</v>
      </c>
      <c r="D1720" s="581">
        <v>220</v>
      </c>
      <c r="E1720" s="901"/>
      <c r="F1720" s="581"/>
      <c r="G1720" s="581"/>
      <c r="H1720" s="581"/>
      <c r="I1720" s="581"/>
      <c r="J1720" s="779"/>
      <c r="K1720" s="568"/>
    </row>
    <row r="1721" spans="1:11" x14ac:dyDescent="0.25">
      <c r="A1721" s="590">
        <v>68020</v>
      </c>
      <c r="B1721" s="576" t="s">
        <v>768</v>
      </c>
      <c r="C1721" s="581">
        <v>1000</v>
      </c>
      <c r="D1721" s="581">
        <v>817</v>
      </c>
      <c r="E1721" s="901">
        <v>2150</v>
      </c>
      <c r="F1721" s="581"/>
      <c r="G1721" s="581">
        <v>2150</v>
      </c>
      <c r="H1721" s="581"/>
      <c r="I1721" s="581"/>
      <c r="J1721" s="779"/>
      <c r="K1721" s="568"/>
    </row>
    <row r="1722" spans="1:11" x14ac:dyDescent="0.25">
      <c r="A1722" s="596"/>
      <c r="B1722" s="583" t="s">
        <v>242</v>
      </c>
      <c r="C1722" s="587">
        <f>SUM(C1712:C1721)</f>
        <v>9358</v>
      </c>
      <c r="D1722" s="587">
        <f t="shared" ref="D1722" si="267">SUM(D1712:D1721)</f>
        <v>11891.060000000001</v>
      </c>
      <c r="E1722" s="953">
        <f>SUM(E1712:E1721)</f>
        <v>14200</v>
      </c>
      <c r="F1722" s="587">
        <f t="shared" ref="F1722:H1722" si="268">SUM(F1712:F1721)</f>
        <v>0</v>
      </c>
      <c r="G1722" s="587">
        <f>SUM(G1712:G1721)</f>
        <v>14200</v>
      </c>
      <c r="H1722" s="587">
        <f t="shared" si="268"/>
        <v>0</v>
      </c>
      <c r="I1722" s="587"/>
      <c r="J1722" s="779"/>
      <c r="K1722" s="568"/>
    </row>
    <row r="1723" spans="1:11" x14ac:dyDescent="0.25">
      <c r="A1723" s="590"/>
      <c r="B1723" s="576"/>
      <c r="C1723" s="564"/>
      <c r="D1723" s="576"/>
      <c r="E1723" s="900"/>
      <c r="F1723" s="564"/>
      <c r="G1723" s="581"/>
      <c r="H1723" s="581"/>
      <c r="I1723" s="581"/>
      <c r="J1723" s="779"/>
      <c r="K1723" s="568"/>
    </row>
    <row r="1724" spans="1:11" x14ac:dyDescent="0.25">
      <c r="A1724" s="560"/>
      <c r="B1724" s="561"/>
      <c r="C1724" s="564"/>
      <c r="D1724" s="576"/>
      <c r="E1724" s="561"/>
      <c r="F1724" s="564"/>
      <c r="G1724" s="581"/>
      <c r="H1724" s="581"/>
      <c r="I1724" s="581"/>
      <c r="J1724" s="779"/>
      <c r="K1724" s="568"/>
    </row>
    <row r="1725" spans="1:11" x14ac:dyDescent="0.25">
      <c r="A1725" s="915" t="s">
        <v>1094</v>
      </c>
      <c r="B1725" s="918" t="s">
        <v>769</v>
      </c>
      <c r="C1725" s="912">
        <v>2017</v>
      </c>
      <c r="D1725" s="913" t="s">
        <v>1236</v>
      </c>
      <c r="E1725" s="913">
        <v>2018</v>
      </c>
      <c r="F1725" s="913" t="s">
        <v>1236</v>
      </c>
      <c r="G1725" s="913" t="s">
        <v>4</v>
      </c>
      <c r="H1725" s="913">
        <v>2019</v>
      </c>
      <c r="I1725" s="913" t="s">
        <v>5</v>
      </c>
      <c r="J1725" s="779"/>
      <c r="K1725" s="568"/>
    </row>
    <row r="1726" spans="1:11" x14ac:dyDescent="0.25">
      <c r="A1726" s="590"/>
      <c r="B1726" s="576" t="s">
        <v>93</v>
      </c>
      <c r="C1726" s="912" t="s">
        <v>6</v>
      </c>
      <c r="D1726" s="914">
        <v>43069</v>
      </c>
      <c r="E1726" s="913" t="s">
        <v>6</v>
      </c>
      <c r="F1726" s="914">
        <v>43131</v>
      </c>
      <c r="G1726" s="914" t="s">
        <v>1131</v>
      </c>
      <c r="H1726" s="914" t="s">
        <v>6</v>
      </c>
      <c r="I1726" s="914" t="s">
        <v>7</v>
      </c>
      <c r="J1726" s="779"/>
      <c r="K1726" s="568"/>
    </row>
    <row r="1727" spans="1:11" x14ac:dyDescent="0.25">
      <c r="A1727" s="609">
        <v>40110</v>
      </c>
      <c r="B1727" s="605" t="s">
        <v>97</v>
      </c>
      <c r="C1727" s="610"/>
      <c r="D1727" s="610">
        <v>0</v>
      </c>
      <c r="E1727" s="957">
        <v>0</v>
      </c>
      <c r="F1727" s="610">
        <v>0</v>
      </c>
      <c r="G1727" s="610">
        <v>0</v>
      </c>
      <c r="H1727" s="610"/>
      <c r="I1727" s="610"/>
      <c r="J1727" s="779"/>
      <c r="K1727" s="568"/>
    </row>
    <row r="1728" spans="1:11" x14ac:dyDescent="0.25">
      <c r="A1728" s="609">
        <v>41410</v>
      </c>
      <c r="B1728" s="605" t="s">
        <v>478</v>
      </c>
      <c r="C1728" s="610"/>
      <c r="D1728" s="610">
        <v>0</v>
      </c>
      <c r="E1728" s="957">
        <v>0</v>
      </c>
      <c r="F1728" s="610">
        <v>0</v>
      </c>
      <c r="G1728" s="610">
        <v>0</v>
      </c>
      <c r="H1728" s="610"/>
      <c r="I1728" s="610"/>
      <c r="J1728" s="779"/>
      <c r="K1728" s="568"/>
    </row>
    <row r="1729" spans="1:11" x14ac:dyDescent="0.25">
      <c r="A1729" s="609">
        <v>41430</v>
      </c>
      <c r="B1729" s="605" t="s">
        <v>98</v>
      </c>
      <c r="C1729" s="610"/>
      <c r="D1729" s="610">
        <v>0</v>
      </c>
      <c r="E1729" s="957">
        <v>0</v>
      </c>
      <c r="F1729" s="610">
        <v>0</v>
      </c>
      <c r="G1729" s="610">
        <v>0</v>
      </c>
      <c r="H1729" s="610"/>
      <c r="I1729" s="610"/>
      <c r="J1729" s="779"/>
      <c r="K1729" s="568"/>
    </row>
    <row r="1730" spans="1:11" x14ac:dyDescent="0.25">
      <c r="A1730" s="609">
        <v>41440</v>
      </c>
      <c r="B1730" s="605" t="s">
        <v>100</v>
      </c>
      <c r="C1730" s="610"/>
      <c r="D1730" s="610">
        <v>0</v>
      </c>
      <c r="E1730" s="957">
        <v>0</v>
      </c>
      <c r="F1730" s="610">
        <v>0</v>
      </c>
      <c r="G1730" s="610">
        <v>0</v>
      </c>
      <c r="H1730" s="610"/>
      <c r="I1730" s="610"/>
      <c r="J1730" s="779"/>
      <c r="K1730" s="568"/>
    </row>
    <row r="1731" spans="1:11" x14ac:dyDescent="0.25">
      <c r="A1731" s="609">
        <v>41450</v>
      </c>
      <c r="B1731" s="605" t="s">
        <v>101</v>
      </c>
      <c r="C1731" s="610"/>
      <c r="D1731" s="610">
        <v>0</v>
      </c>
      <c r="E1731" s="957">
        <v>0</v>
      </c>
      <c r="F1731" s="610">
        <v>0</v>
      </c>
      <c r="G1731" s="610">
        <v>0</v>
      </c>
      <c r="H1731" s="610"/>
      <c r="I1731" s="610"/>
      <c r="J1731" s="779"/>
      <c r="K1731" s="568"/>
    </row>
    <row r="1732" spans="1:11" x14ac:dyDescent="0.25">
      <c r="A1732" s="609">
        <v>41470</v>
      </c>
      <c r="B1732" s="605" t="s">
        <v>102</v>
      </c>
      <c r="C1732" s="610"/>
      <c r="D1732" s="610">
        <v>0</v>
      </c>
      <c r="E1732" s="957">
        <v>0</v>
      </c>
      <c r="F1732" s="610">
        <v>0</v>
      </c>
      <c r="G1732" s="610">
        <v>0</v>
      </c>
      <c r="H1732" s="610"/>
      <c r="I1732" s="610"/>
      <c r="J1732" s="779"/>
      <c r="K1732" s="568"/>
    </row>
    <row r="1733" spans="1:11" x14ac:dyDescent="0.25">
      <c r="A1733" s="590">
        <v>63210</v>
      </c>
      <c r="B1733" s="576" t="s">
        <v>761</v>
      </c>
      <c r="C1733" s="610">
        <v>200</v>
      </c>
      <c r="D1733" s="610">
        <v>43.7</v>
      </c>
      <c r="E1733" s="957">
        <v>200</v>
      </c>
      <c r="F1733" s="610"/>
      <c r="G1733" s="562">
        <v>200</v>
      </c>
      <c r="H1733" s="562"/>
      <c r="I1733" s="562"/>
      <c r="J1733" s="779"/>
      <c r="K1733" s="568"/>
    </row>
    <row r="1734" spans="1:11" x14ac:dyDescent="0.25">
      <c r="A1734" s="596"/>
      <c r="B1734" s="583" t="s">
        <v>242</v>
      </c>
      <c r="C1734" s="585">
        <f>SUM(C1727:C1733)</f>
        <v>200</v>
      </c>
      <c r="D1734" s="584">
        <f t="shared" ref="D1734" si="269">SUM(D1727:D1733)</f>
        <v>43.7</v>
      </c>
      <c r="E1734" s="938">
        <f>SUM(E1727:E1733)</f>
        <v>200</v>
      </c>
      <c r="F1734" s="585">
        <f t="shared" ref="F1734:H1734" si="270">SUM(F1727:F1733)</f>
        <v>0</v>
      </c>
      <c r="G1734" s="584">
        <f>SUM(G1727:G1733)</f>
        <v>200</v>
      </c>
      <c r="H1734" s="584">
        <f t="shared" si="270"/>
        <v>0</v>
      </c>
      <c r="I1734" s="584"/>
      <c r="J1734" s="779"/>
      <c r="K1734" s="568"/>
    </row>
    <row r="1735" spans="1:11" x14ac:dyDescent="0.25">
      <c r="A1735" s="590"/>
      <c r="B1735" s="576"/>
      <c r="C1735" s="564"/>
      <c r="D1735" s="576"/>
      <c r="E1735" s="900"/>
      <c r="F1735" s="564"/>
      <c r="G1735" s="581"/>
      <c r="H1735" s="581"/>
      <c r="I1735" s="581"/>
      <c r="J1735" s="779"/>
      <c r="K1735" s="568"/>
    </row>
    <row r="1736" spans="1:11" x14ac:dyDescent="0.25">
      <c r="A1736" s="560"/>
      <c r="B1736" s="561" t="s">
        <v>770</v>
      </c>
      <c r="C1736" s="564"/>
      <c r="D1736" s="576"/>
      <c r="E1736" s="561"/>
      <c r="F1736" s="564"/>
      <c r="G1736" s="581"/>
      <c r="H1736" s="581"/>
      <c r="I1736" s="581"/>
      <c r="J1736" s="779"/>
      <c r="K1736" s="568"/>
    </row>
    <row r="1737" spans="1:11" x14ac:dyDescent="0.25">
      <c r="A1737" s="560"/>
      <c r="B1737" s="561"/>
      <c r="C1737" s="564"/>
      <c r="D1737" s="576"/>
      <c r="E1737" s="561"/>
      <c r="F1737" s="564"/>
      <c r="G1737" s="581"/>
      <c r="H1737" s="581"/>
      <c r="I1737" s="581"/>
      <c r="J1737" s="779"/>
      <c r="K1737" s="568"/>
    </row>
    <row r="1738" spans="1:11" x14ac:dyDescent="0.25">
      <c r="A1738" s="603" t="s">
        <v>1095</v>
      </c>
      <c r="B1738" s="604" t="s">
        <v>720</v>
      </c>
      <c r="C1738" s="573">
        <v>2017</v>
      </c>
      <c r="D1738" s="572" t="s">
        <v>1236</v>
      </c>
      <c r="E1738" s="572">
        <v>2018</v>
      </c>
      <c r="F1738" s="913" t="s">
        <v>1236</v>
      </c>
      <c r="G1738" s="913" t="s">
        <v>4</v>
      </c>
      <c r="H1738" s="913">
        <v>2019</v>
      </c>
      <c r="I1738" s="913" t="s">
        <v>5</v>
      </c>
      <c r="J1738" s="779"/>
      <c r="K1738" s="568"/>
    </row>
    <row r="1739" spans="1:11" x14ac:dyDescent="0.25">
      <c r="A1739" s="560"/>
      <c r="B1739" s="576" t="s">
        <v>93</v>
      </c>
      <c r="C1739" s="573" t="s">
        <v>6</v>
      </c>
      <c r="D1739" s="574">
        <v>43069</v>
      </c>
      <c r="E1739" s="572" t="s">
        <v>6</v>
      </c>
      <c r="F1739" s="914">
        <v>43131</v>
      </c>
      <c r="G1739" s="914" t="s">
        <v>1131</v>
      </c>
      <c r="H1739" s="914" t="s">
        <v>6</v>
      </c>
      <c r="I1739" s="914" t="s">
        <v>7</v>
      </c>
      <c r="J1739" s="779"/>
      <c r="K1739" s="568"/>
    </row>
    <row r="1740" spans="1:11" x14ac:dyDescent="0.25">
      <c r="A1740" s="609">
        <v>40110</v>
      </c>
      <c r="B1740" s="605" t="s">
        <v>97</v>
      </c>
      <c r="C1740" s="611">
        <v>59421</v>
      </c>
      <c r="D1740" s="611">
        <f>38246.84+2235.99+1564.83+1424.37</f>
        <v>43472.03</v>
      </c>
      <c r="E1740" s="902">
        <v>51000</v>
      </c>
      <c r="F1740" s="611"/>
      <c r="G1740" s="611">
        <v>51000</v>
      </c>
      <c r="H1740" s="581"/>
      <c r="I1740" s="581"/>
      <c r="J1740" s="779"/>
      <c r="K1740" s="568"/>
    </row>
    <row r="1741" spans="1:11" x14ac:dyDescent="0.25">
      <c r="A1741" s="609">
        <v>41410</v>
      </c>
      <c r="B1741" s="605" t="s">
        <v>478</v>
      </c>
      <c r="C1741" s="611"/>
      <c r="D1741" s="611">
        <v>121.54</v>
      </c>
      <c r="E1741" s="902">
        <v>160</v>
      </c>
      <c r="F1741" s="611"/>
      <c r="G1741" s="611">
        <v>160</v>
      </c>
      <c r="H1741" s="581"/>
      <c r="I1741" s="581"/>
      <c r="J1741" s="779"/>
      <c r="K1741" s="568"/>
    </row>
    <row r="1742" spans="1:11" x14ac:dyDescent="0.25">
      <c r="A1742" s="609">
        <v>41430</v>
      </c>
      <c r="B1742" s="605" t="s">
        <v>98</v>
      </c>
      <c r="C1742" s="611"/>
      <c r="D1742" s="611">
        <v>4995.3599999999997</v>
      </c>
      <c r="E1742" s="902">
        <v>6008</v>
      </c>
      <c r="F1742" s="611"/>
      <c r="G1742" s="611">
        <v>6008</v>
      </c>
      <c r="H1742" s="581"/>
      <c r="I1742" s="581"/>
      <c r="J1742" s="779"/>
      <c r="K1742" s="568"/>
    </row>
    <row r="1743" spans="1:11" x14ac:dyDescent="0.25">
      <c r="A1743" s="609">
        <v>41435</v>
      </c>
      <c r="B1743" s="605" t="s">
        <v>1249</v>
      </c>
      <c r="C1743" s="611"/>
      <c r="D1743" s="611">
        <v>0</v>
      </c>
      <c r="E1743" s="902">
        <v>1432</v>
      </c>
      <c r="F1743" s="611"/>
      <c r="G1743" s="611">
        <v>1432</v>
      </c>
      <c r="H1743" s="581"/>
      <c r="I1743" s="581"/>
      <c r="J1743" s="779"/>
      <c r="K1743" s="568"/>
    </row>
    <row r="1744" spans="1:11" x14ac:dyDescent="0.25">
      <c r="A1744" s="609">
        <v>41440</v>
      </c>
      <c r="B1744" s="605" t="s">
        <v>100</v>
      </c>
      <c r="C1744" s="611">
        <v>3684</v>
      </c>
      <c r="D1744" s="611">
        <v>2511.2800000000002</v>
      </c>
      <c r="E1744" s="902">
        <v>3162</v>
      </c>
      <c r="F1744" s="611"/>
      <c r="G1744" s="611">
        <v>3162</v>
      </c>
      <c r="H1744" s="581"/>
      <c r="I1744" s="581"/>
      <c r="J1744" s="779"/>
      <c r="K1744" s="568"/>
    </row>
    <row r="1745" spans="1:11" x14ac:dyDescent="0.25">
      <c r="A1745" s="609">
        <v>41450</v>
      </c>
      <c r="B1745" s="605" t="s">
        <v>101</v>
      </c>
      <c r="C1745" s="611">
        <v>862</v>
      </c>
      <c r="D1745" s="611">
        <v>587.34</v>
      </c>
      <c r="E1745" s="902">
        <v>740</v>
      </c>
      <c r="F1745" s="611"/>
      <c r="G1745" s="611">
        <v>740</v>
      </c>
      <c r="H1745" s="581"/>
      <c r="I1745" s="581"/>
      <c r="J1745" s="779"/>
      <c r="K1745" s="568"/>
    </row>
    <row r="1746" spans="1:11" x14ac:dyDescent="0.25">
      <c r="A1746" s="609">
        <v>41470</v>
      </c>
      <c r="B1746" s="605" t="s">
        <v>102</v>
      </c>
      <c r="C1746" s="611"/>
      <c r="D1746" s="611">
        <v>31.02</v>
      </c>
      <c r="E1746" s="902">
        <v>38</v>
      </c>
      <c r="F1746" s="611"/>
      <c r="G1746" s="611">
        <v>38</v>
      </c>
      <c r="H1746" s="581"/>
      <c r="I1746" s="581"/>
      <c r="J1746" s="779"/>
      <c r="K1746" s="568"/>
    </row>
    <row r="1747" spans="1:11" x14ac:dyDescent="0.25">
      <c r="A1747" s="609">
        <v>54110</v>
      </c>
      <c r="B1747" s="605" t="s">
        <v>103</v>
      </c>
      <c r="C1747" s="611">
        <v>3000</v>
      </c>
      <c r="D1747" s="611">
        <v>1814.65</v>
      </c>
      <c r="E1747" s="902">
        <v>2400</v>
      </c>
      <c r="F1747" s="611"/>
      <c r="G1747" s="611">
        <v>2400</v>
      </c>
      <c r="H1747" s="581"/>
      <c r="I1747" s="581"/>
      <c r="J1747" s="779"/>
      <c r="K1747" s="568"/>
    </row>
    <row r="1748" spans="1:11" x14ac:dyDescent="0.25">
      <c r="A1748" s="609">
        <v>54115</v>
      </c>
      <c r="B1748" s="605" t="s">
        <v>757</v>
      </c>
      <c r="C1748" s="611">
        <v>6031</v>
      </c>
      <c r="D1748" s="611">
        <v>6737.05</v>
      </c>
      <c r="E1748" s="902">
        <v>0</v>
      </c>
      <c r="F1748" s="611"/>
      <c r="G1748" s="611">
        <v>0</v>
      </c>
      <c r="H1748" s="581"/>
      <c r="I1748" s="581"/>
      <c r="J1748" s="779"/>
      <c r="K1748" s="568"/>
    </row>
    <row r="1749" spans="1:11" x14ac:dyDescent="0.25">
      <c r="A1749" s="609">
        <v>54212</v>
      </c>
      <c r="B1749" s="605" t="s">
        <v>289</v>
      </c>
      <c r="C1749" s="611"/>
      <c r="D1749" s="611">
        <v>0</v>
      </c>
      <c r="E1749" s="902">
        <v>0</v>
      </c>
      <c r="F1749" s="611"/>
      <c r="G1749" s="611">
        <v>0</v>
      </c>
      <c r="H1749" s="581"/>
      <c r="I1749" s="581"/>
      <c r="J1749" s="779"/>
      <c r="K1749" s="568"/>
    </row>
    <row r="1750" spans="1:11" x14ac:dyDescent="0.25">
      <c r="A1750" s="609">
        <v>60000</v>
      </c>
      <c r="B1750" s="605" t="s">
        <v>663</v>
      </c>
      <c r="C1750" s="611">
        <v>1560</v>
      </c>
      <c r="D1750" s="611">
        <v>1457.34</v>
      </c>
      <c r="E1750" s="902">
        <v>1950</v>
      </c>
      <c r="F1750" s="611"/>
      <c r="G1750" s="611">
        <v>1950</v>
      </c>
      <c r="H1750" s="581"/>
      <c r="I1750" s="581"/>
      <c r="J1750" s="780"/>
      <c r="K1750" s="700"/>
    </row>
    <row r="1751" spans="1:11" s="569" customFormat="1" x14ac:dyDescent="0.25">
      <c r="A1751" s="609">
        <v>61200</v>
      </c>
      <c r="B1751" s="605" t="s">
        <v>771</v>
      </c>
      <c r="C1751" s="611">
        <v>900</v>
      </c>
      <c r="D1751" s="611">
        <v>30</v>
      </c>
      <c r="E1751" s="902">
        <v>0</v>
      </c>
      <c r="F1751" s="611"/>
      <c r="G1751" s="611">
        <v>0</v>
      </c>
      <c r="H1751" s="581"/>
      <c r="I1751" s="581"/>
      <c r="J1751" s="779"/>
      <c r="K1751" s="568"/>
    </row>
    <row r="1752" spans="1:11" x14ac:dyDescent="0.25">
      <c r="A1752" s="609">
        <v>62310</v>
      </c>
      <c r="B1752" s="605" t="s">
        <v>772</v>
      </c>
      <c r="C1752" s="611"/>
      <c r="D1752" s="611">
        <v>9.8000000000000007</v>
      </c>
      <c r="E1752" s="902">
        <v>0</v>
      </c>
      <c r="F1752" s="611"/>
      <c r="G1752" s="611">
        <v>0</v>
      </c>
      <c r="H1752" s="581"/>
      <c r="I1752" s="581"/>
      <c r="J1752" s="567"/>
      <c r="K1752" s="568"/>
    </row>
    <row r="1753" spans="1:11" x14ac:dyDescent="0.25">
      <c r="A1753" s="609">
        <v>62500</v>
      </c>
      <c r="B1753" s="605" t="s">
        <v>109</v>
      </c>
      <c r="C1753" s="611">
        <v>3295</v>
      </c>
      <c r="D1753" s="611">
        <v>1575.67</v>
      </c>
      <c r="E1753" s="902">
        <v>1141</v>
      </c>
      <c r="F1753" s="611"/>
      <c r="G1753" s="611">
        <v>1141</v>
      </c>
      <c r="H1753" s="581"/>
      <c r="I1753" s="581"/>
      <c r="J1753" s="567"/>
      <c r="K1753" s="568"/>
    </row>
    <row r="1754" spans="1:11" x14ac:dyDescent="0.25">
      <c r="A1754" s="609">
        <v>62510</v>
      </c>
      <c r="B1754" s="605" t="s">
        <v>110</v>
      </c>
      <c r="C1754" s="611">
        <v>770</v>
      </c>
      <c r="D1754" s="611">
        <v>741.35</v>
      </c>
      <c r="E1754" s="902">
        <v>420</v>
      </c>
      <c r="F1754" s="611"/>
      <c r="G1754" s="611">
        <v>420</v>
      </c>
      <c r="H1754" s="581"/>
      <c r="I1754" s="581"/>
      <c r="J1754" s="567"/>
      <c r="K1754" s="568"/>
    </row>
    <row r="1755" spans="1:11" x14ac:dyDescent="0.25">
      <c r="A1755" s="609">
        <v>62530</v>
      </c>
      <c r="B1755" s="605" t="s">
        <v>171</v>
      </c>
      <c r="C1755" s="611">
        <v>3060</v>
      </c>
      <c r="D1755" s="611">
        <v>2902.03</v>
      </c>
      <c r="E1755" s="902">
        <v>1500</v>
      </c>
      <c r="F1755" s="611"/>
      <c r="G1755" s="611">
        <v>1500</v>
      </c>
      <c r="H1755" s="581"/>
      <c r="I1755" s="581"/>
      <c r="J1755" s="567"/>
      <c r="K1755" s="568"/>
    </row>
    <row r="1756" spans="1:11" x14ac:dyDescent="0.25">
      <c r="A1756" s="609">
        <v>62550</v>
      </c>
      <c r="B1756" s="605" t="s">
        <v>184</v>
      </c>
      <c r="C1756" s="611">
        <v>4312</v>
      </c>
      <c r="D1756" s="611">
        <v>3609.71</v>
      </c>
      <c r="E1756" s="902">
        <v>4200</v>
      </c>
      <c r="F1756" s="611"/>
      <c r="G1756" s="611">
        <v>4200</v>
      </c>
      <c r="H1756" s="581"/>
      <c r="I1756" s="581"/>
      <c r="J1756" s="567"/>
      <c r="K1756" s="568"/>
    </row>
    <row r="1757" spans="1:11" x14ac:dyDescent="0.25">
      <c r="A1757" s="609">
        <v>63000</v>
      </c>
      <c r="B1757" s="605" t="s">
        <v>142</v>
      </c>
      <c r="C1757" s="611">
        <v>3000</v>
      </c>
      <c r="D1757" s="611">
        <v>600</v>
      </c>
      <c r="E1757" s="902">
        <v>0</v>
      </c>
      <c r="F1757" s="611"/>
      <c r="G1757" s="611">
        <v>0</v>
      </c>
      <c r="H1757" s="581"/>
      <c r="I1757" s="581"/>
      <c r="J1757" s="567"/>
      <c r="K1757" s="568"/>
    </row>
    <row r="1758" spans="1:11" x14ac:dyDescent="0.25">
      <c r="A1758" s="609">
        <v>63240</v>
      </c>
      <c r="B1758" s="605" t="s">
        <v>773</v>
      </c>
      <c r="C1758" s="611"/>
      <c r="D1758" s="611">
        <v>0</v>
      </c>
      <c r="E1758" s="902">
        <v>0</v>
      </c>
      <c r="F1758" s="611"/>
      <c r="G1758" s="611">
        <v>0</v>
      </c>
      <c r="H1758" s="581"/>
      <c r="I1758" s="581"/>
      <c r="J1758" s="567"/>
      <c r="K1758" s="568"/>
    </row>
    <row r="1759" spans="1:11" x14ac:dyDescent="0.25">
      <c r="A1759" s="609">
        <v>63274</v>
      </c>
      <c r="B1759" s="605" t="s">
        <v>774</v>
      </c>
      <c r="C1759" s="611">
        <v>1200</v>
      </c>
      <c r="D1759" s="611">
        <v>0</v>
      </c>
      <c r="E1759" s="902">
        <v>0</v>
      </c>
      <c r="F1759" s="611"/>
      <c r="G1759" s="611">
        <v>0</v>
      </c>
      <c r="H1759" s="581"/>
      <c r="I1759" s="581"/>
      <c r="J1759" s="567"/>
      <c r="K1759" s="568"/>
    </row>
    <row r="1760" spans="1:11" x14ac:dyDescent="0.25">
      <c r="A1760" s="609">
        <v>64900</v>
      </c>
      <c r="B1760" s="605" t="s">
        <v>775</v>
      </c>
      <c r="C1760" s="611">
        <v>9091</v>
      </c>
      <c r="D1760" s="611">
        <v>0</v>
      </c>
      <c r="E1760" s="902">
        <v>9091</v>
      </c>
      <c r="F1760" s="611"/>
      <c r="G1760" s="611">
        <v>9091</v>
      </c>
      <c r="H1760" s="581"/>
      <c r="I1760" s="581"/>
      <c r="J1760" s="567"/>
      <c r="K1760" s="568"/>
    </row>
    <row r="1761" spans="1:11" x14ac:dyDescent="0.25">
      <c r="A1761" s="609">
        <v>65200</v>
      </c>
      <c r="B1761" s="605" t="s">
        <v>776</v>
      </c>
      <c r="C1761" s="611"/>
      <c r="D1761" s="611">
        <v>0</v>
      </c>
      <c r="E1761" s="902">
        <v>0</v>
      </c>
      <c r="F1761" s="611"/>
      <c r="G1761" s="611">
        <v>0</v>
      </c>
      <c r="H1761" s="581"/>
      <c r="I1761" s="581"/>
      <c r="J1761" s="567"/>
      <c r="K1761" s="568"/>
    </row>
    <row r="1762" spans="1:11" x14ac:dyDescent="0.25">
      <c r="A1762" s="609">
        <v>65300</v>
      </c>
      <c r="B1762" s="605" t="s">
        <v>777</v>
      </c>
      <c r="C1762" s="611"/>
      <c r="D1762" s="611">
        <v>0</v>
      </c>
      <c r="E1762" s="902">
        <v>0</v>
      </c>
      <c r="F1762" s="611"/>
      <c r="G1762" s="611">
        <v>0</v>
      </c>
      <c r="H1762" s="581"/>
      <c r="I1762" s="581"/>
      <c r="J1762" s="567"/>
      <c r="K1762" s="568"/>
    </row>
    <row r="1763" spans="1:11" x14ac:dyDescent="0.25">
      <c r="A1763" s="609">
        <v>65400</v>
      </c>
      <c r="B1763" s="605" t="s">
        <v>152</v>
      </c>
      <c r="C1763" s="611"/>
      <c r="D1763" s="611">
        <v>0</v>
      </c>
      <c r="E1763" s="902">
        <v>0</v>
      </c>
      <c r="F1763" s="611"/>
      <c r="G1763" s="611">
        <v>0</v>
      </c>
      <c r="H1763" s="581"/>
      <c r="I1763" s="581"/>
      <c r="J1763" s="567"/>
      <c r="K1763" s="568"/>
    </row>
    <row r="1764" spans="1:11" x14ac:dyDescent="0.25">
      <c r="A1764" s="609">
        <v>65500</v>
      </c>
      <c r="B1764" s="605" t="s">
        <v>778</v>
      </c>
      <c r="C1764" s="611">
        <v>2400</v>
      </c>
      <c r="D1764" s="611">
        <v>1925.19</v>
      </c>
      <c r="E1764" s="902">
        <v>2400</v>
      </c>
      <c r="F1764" s="611"/>
      <c r="G1764" s="611">
        <v>2400</v>
      </c>
      <c r="H1764" s="581"/>
      <c r="I1764" s="581"/>
      <c r="J1764" s="567"/>
      <c r="K1764" s="568"/>
    </row>
    <row r="1765" spans="1:11" x14ac:dyDescent="0.25">
      <c r="A1765" s="609">
        <v>65700</v>
      </c>
      <c r="B1765" s="605" t="s">
        <v>153</v>
      </c>
      <c r="C1765" s="611"/>
      <c r="D1765" s="611">
        <v>0</v>
      </c>
      <c r="E1765" s="902">
        <v>0</v>
      </c>
      <c r="F1765" s="611"/>
      <c r="G1765" s="611"/>
      <c r="H1765" s="581"/>
      <c r="I1765" s="581"/>
      <c r="J1765" s="567"/>
      <c r="K1765" s="568"/>
    </row>
    <row r="1766" spans="1:11" x14ac:dyDescent="0.25">
      <c r="A1766" s="609">
        <v>69999</v>
      </c>
      <c r="B1766" s="605" t="s">
        <v>779</v>
      </c>
      <c r="C1766" s="611">
        <v>1960</v>
      </c>
      <c r="D1766" s="611">
        <v>75</v>
      </c>
      <c r="E1766" s="902">
        <v>14358</v>
      </c>
      <c r="F1766" s="611"/>
      <c r="G1766" s="611">
        <v>14358</v>
      </c>
      <c r="H1766" s="581"/>
      <c r="I1766" s="581"/>
      <c r="J1766" s="567"/>
      <c r="K1766" s="568"/>
    </row>
    <row r="1767" spans="1:11" x14ac:dyDescent="0.25">
      <c r="A1767" s="612"/>
      <c r="B1767" s="583" t="s">
        <v>242</v>
      </c>
      <c r="C1767" s="586">
        <f>SUM(C1740:C1766)</f>
        <v>104546</v>
      </c>
      <c r="D1767" s="584">
        <f t="shared" ref="D1767" si="271">SUM(D1740:D1766)</f>
        <v>73196.36</v>
      </c>
      <c r="E1767" s="972">
        <f>SUM(E1740:E1766)</f>
        <v>100000</v>
      </c>
      <c r="F1767" s="586">
        <f t="shared" ref="F1767:H1767" si="272">SUM(F1740:F1766)</f>
        <v>0</v>
      </c>
      <c r="G1767" s="708">
        <f>SUM(G1740:G1766)</f>
        <v>100000</v>
      </c>
      <c r="H1767" s="584">
        <f t="shared" si="272"/>
        <v>0</v>
      </c>
      <c r="I1767" s="584"/>
      <c r="J1767" s="567"/>
      <c r="K1767" s="568"/>
    </row>
    <row r="1768" spans="1:11" x14ac:dyDescent="0.25">
      <c r="A1768" s="560"/>
      <c r="B1768" s="576"/>
      <c r="C1768" s="564"/>
      <c r="D1768" s="562"/>
      <c r="E1768" s="900"/>
      <c r="F1768" s="564"/>
      <c r="G1768" s="581"/>
      <c r="H1768" s="581"/>
      <c r="I1768" s="581"/>
      <c r="J1768" s="567"/>
      <c r="K1768" s="568"/>
    </row>
    <row r="1769" spans="1:11" x14ac:dyDescent="0.25">
      <c r="A1769" s="560"/>
      <c r="B1769" s="561"/>
      <c r="C1769" s="564"/>
      <c r="D1769" s="583"/>
      <c r="E1769" s="561"/>
      <c r="F1769" s="564"/>
      <c r="G1769" s="581"/>
      <c r="H1769" s="581"/>
      <c r="I1769" s="581"/>
      <c r="J1769" s="567"/>
      <c r="K1769" s="568"/>
    </row>
    <row r="1770" spans="1:11" x14ac:dyDescent="0.25">
      <c r="A1770" s="603" t="s">
        <v>1096</v>
      </c>
      <c r="B1770" s="604" t="s">
        <v>780</v>
      </c>
      <c r="C1770" s="573">
        <v>2017</v>
      </c>
      <c r="D1770" s="572" t="s">
        <v>1236</v>
      </c>
      <c r="E1770" s="572">
        <v>2018</v>
      </c>
      <c r="F1770" s="913" t="s">
        <v>1236</v>
      </c>
      <c r="G1770" s="913" t="s">
        <v>4</v>
      </c>
      <c r="H1770" s="913">
        <v>2019</v>
      </c>
      <c r="I1770" s="913" t="s">
        <v>5</v>
      </c>
      <c r="J1770" s="567"/>
      <c r="K1770" s="568"/>
    </row>
    <row r="1771" spans="1:11" x14ac:dyDescent="0.25">
      <c r="A1771" s="560"/>
      <c r="B1771" s="576" t="s">
        <v>93</v>
      </c>
      <c r="C1771" s="573" t="s">
        <v>6</v>
      </c>
      <c r="D1771" s="574">
        <v>43069</v>
      </c>
      <c r="E1771" s="572" t="s">
        <v>6</v>
      </c>
      <c r="F1771" s="914">
        <v>43131</v>
      </c>
      <c r="G1771" s="914" t="s">
        <v>1131</v>
      </c>
      <c r="H1771" s="914" t="s">
        <v>6</v>
      </c>
      <c r="I1771" s="914" t="s">
        <v>7</v>
      </c>
      <c r="J1771" s="567"/>
      <c r="K1771" s="568"/>
    </row>
    <row r="1772" spans="1:11" x14ac:dyDescent="0.25">
      <c r="A1772" s="609">
        <v>40110</v>
      </c>
      <c r="B1772" s="605" t="s">
        <v>97</v>
      </c>
      <c r="C1772" s="582">
        <v>52602</v>
      </c>
      <c r="D1772" s="582">
        <f>20259.79+1542.82+2789.94+820.33</f>
        <v>25412.880000000001</v>
      </c>
      <c r="E1772" s="901">
        <v>42000</v>
      </c>
      <c r="F1772" s="582"/>
      <c r="G1772" s="582">
        <v>42000</v>
      </c>
      <c r="H1772" s="581"/>
      <c r="I1772" s="581"/>
      <c r="J1772" s="567"/>
      <c r="K1772" s="568"/>
    </row>
    <row r="1773" spans="1:11" x14ac:dyDescent="0.25">
      <c r="A1773" s="609">
        <v>41410</v>
      </c>
      <c r="B1773" s="605" t="s">
        <v>478</v>
      </c>
      <c r="C1773" s="582"/>
      <c r="D1773" s="582">
        <v>72.8</v>
      </c>
      <c r="E1773" s="901">
        <v>126</v>
      </c>
      <c r="F1773" s="582"/>
      <c r="G1773" s="582">
        <v>126</v>
      </c>
      <c r="H1773" s="581"/>
      <c r="I1773" s="581"/>
      <c r="J1773" s="567"/>
      <c r="K1773" s="568"/>
    </row>
    <row r="1774" spans="1:11" x14ac:dyDescent="0.25">
      <c r="A1774" s="609">
        <v>41430</v>
      </c>
      <c r="B1774" s="605" t="s">
        <v>98</v>
      </c>
      <c r="C1774" s="582"/>
      <c r="D1774" s="582">
        <v>4454.18</v>
      </c>
      <c r="E1774" s="901">
        <v>4936</v>
      </c>
      <c r="F1774" s="582"/>
      <c r="G1774" s="582">
        <v>4936</v>
      </c>
      <c r="H1774" s="581"/>
      <c r="I1774" s="581"/>
      <c r="J1774" s="567"/>
      <c r="K1774" s="568"/>
    </row>
    <row r="1775" spans="1:11" x14ac:dyDescent="0.25">
      <c r="A1775" s="609">
        <v>41435</v>
      </c>
      <c r="B1775" s="605" t="s">
        <v>121</v>
      </c>
      <c r="C1775" s="582"/>
      <c r="D1775" s="582">
        <v>1234.3499999999999</v>
      </c>
      <c r="E1775" s="901">
        <v>2116</v>
      </c>
      <c r="F1775" s="582"/>
      <c r="G1775" s="582">
        <v>2116</v>
      </c>
      <c r="H1775" s="581"/>
      <c r="I1775" s="581"/>
      <c r="J1775" s="567"/>
      <c r="K1775" s="568"/>
    </row>
    <row r="1776" spans="1:11" x14ac:dyDescent="0.25">
      <c r="A1776" s="609">
        <v>41440</v>
      </c>
      <c r="B1776" s="605" t="s">
        <v>100</v>
      </c>
      <c r="C1776" s="582">
        <v>3261</v>
      </c>
      <c r="D1776" s="582">
        <v>1504.56</v>
      </c>
      <c r="E1776" s="901">
        <v>2600</v>
      </c>
      <c r="F1776" s="582"/>
      <c r="G1776" s="582">
        <v>2600</v>
      </c>
      <c r="H1776" s="581"/>
      <c r="I1776" s="581"/>
      <c r="J1776" s="567"/>
      <c r="K1776" s="568"/>
    </row>
    <row r="1777" spans="1:11" x14ac:dyDescent="0.25">
      <c r="A1777" s="609">
        <v>41450</v>
      </c>
      <c r="B1777" s="605" t="s">
        <v>101</v>
      </c>
      <c r="C1777" s="582">
        <v>763</v>
      </c>
      <c r="D1777" s="582">
        <v>351.85</v>
      </c>
      <c r="E1777" s="901">
        <v>610</v>
      </c>
      <c r="F1777" s="582"/>
      <c r="G1777" s="582">
        <v>610</v>
      </c>
      <c r="H1777" s="581"/>
      <c r="I1777" s="581"/>
      <c r="J1777" s="567"/>
      <c r="K1777" s="568"/>
    </row>
    <row r="1778" spans="1:11" x14ac:dyDescent="0.25">
      <c r="A1778" s="609">
        <v>41470</v>
      </c>
      <c r="B1778" s="605" t="s">
        <v>102</v>
      </c>
      <c r="C1778" s="582"/>
      <c r="D1778" s="582">
        <v>22.97</v>
      </c>
      <c r="E1778" s="901">
        <v>36</v>
      </c>
      <c r="F1778" s="582"/>
      <c r="G1778" s="582">
        <v>36</v>
      </c>
      <c r="H1778" s="581"/>
      <c r="I1778" s="581"/>
      <c r="J1778" s="567"/>
      <c r="K1778" s="568"/>
    </row>
    <row r="1779" spans="1:11" x14ac:dyDescent="0.25">
      <c r="A1779" s="609">
        <v>54110</v>
      </c>
      <c r="B1779" s="605" t="s">
        <v>103</v>
      </c>
      <c r="C1779" s="582">
        <v>1008</v>
      </c>
      <c r="D1779" s="582">
        <v>2148.4899999999998</v>
      </c>
      <c r="E1779" s="901">
        <v>3424</v>
      </c>
      <c r="F1779" s="582"/>
      <c r="G1779" s="582">
        <v>3424</v>
      </c>
      <c r="H1779" s="581"/>
      <c r="I1779" s="581"/>
      <c r="J1779" s="567"/>
      <c r="K1779" s="568"/>
    </row>
    <row r="1780" spans="1:11" x14ac:dyDescent="0.25">
      <c r="A1780" s="609">
        <v>54115</v>
      </c>
      <c r="B1780" s="605" t="s">
        <v>757</v>
      </c>
      <c r="C1780" s="582"/>
      <c r="D1780" s="582">
        <v>135.99</v>
      </c>
      <c r="E1780" s="901">
        <v>0</v>
      </c>
      <c r="F1780" s="582"/>
      <c r="G1780" s="582">
        <v>0</v>
      </c>
      <c r="H1780" s="581"/>
      <c r="I1780" s="581"/>
      <c r="J1780" s="567"/>
      <c r="K1780" s="568"/>
    </row>
    <row r="1781" spans="1:11" x14ac:dyDescent="0.25">
      <c r="A1781" s="609">
        <v>54212</v>
      </c>
      <c r="B1781" s="605" t="s">
        <v>289</v>
      </c>
      <c r="C1781" s="582"/>
      <c r="D1781" s="582">
        <v>0</v>
      </c>
      <c r="E1781" s="901">
        <v>0</v>
      </c>
      <c r="F1781" s="582"/>
      <c r="G1781" s="582">
        <v>0</v>
      </c>
      <c r="H1781" s="581"/>
      <c r="I1781" s="581"/>
      <c r="J1781" s="567"/>
      <c r="K1781" s="568"/>
    </row>
    <row r="1782" spans="1:11" s="569" customFormat="1" x14ac:dyDescent="0.25">
      <c r="A1782" s="609">
        <v>60000</v>
      </c>
      <c r="B1782" s="605" t="s">
        <v>663</v>
      </c>
      <c r="C1782" s="582"/>
      <c r="D1782" s="582">
        <v>342.29</v>
      </c>
      <c r="E1782" s="901">
        <v>0</v>
      </c>
      <c r="F1782" s="582"/>
      <c r="G1782" s="582">
        <v>0</v>
      </c>
      <c r="H1782" s="581"/>
      <c r="I1782" s="581"/>
      <c r="J1782" s="567"/>
      <c r="K1782" s="568"/>
    </row>
    <row r="1783" spans="1:11" x14ac:dyDescent="0.25">
      <c r="A1783" s="609">
        <v>61200</v>
      </c>
      <c r="B1783" s="605" t="s">
        <v>771</v>
      </c>
      <c r="C1783" s="582"/>
      <c r="D1783" s="582">
        <v>0</v>
      </c>
      <c r="E1783" s="901">
        <v>0</v>
      </c>
      <c r="F1783" s="582"/>
      <c r="G1783" s="582">
        <v>0</v>
      </c>
      <c r="H1783" s="581"/>
      <c r="I1783" s="581"/>
      <c r="J1783" s="567"/>
      <c r="K1783" s="568"/>
    </row>
    <row r="1784" spans="1:11" x14ac:dyDescent="0.25">
      <c r="A1784" s="609">
        <v>62310</v>
      </c>
      <c r="B1784" s="605" t="s">
        <v>772</v>
      </c>
      <c r="C1784" s="582"/>
      <c r="D1784" s="582">
        <v>0</v>
      </c>
      <c r="E1784" s="901">
        <v>0</v>
      </c>
      <c r="F1784" s="582"/>
      <c r="G1784" s="582">
        <v>0</v>
      </c>
      <c r="H1784" s="581"/>
      <c r="I1784" s="581"/>
      <c r="J1784" s="567"/>
      <c r="K1784" s="568"/>
    </row>
    <row r="1785" spans="1:11" x14ac:dyDescent="0.25">
      <c r="A1785" s="609">
        <v>62500</v>
      </c>
      <c r="B1785" s="605" t="s">
        <v>109</v>
      </c>
      <c r="C1785" s="582">
        <v>1068</v>
      </c>
      <c r="D1785" s="582">
        <v>328.86</v>
      </c>
      <c r="E1785" s="901">
        <v>752</v>
      </c>
      <c r="F1785" s="582"/>
      <c r="G1785" s="582">
        <v>752</v>
      </c>
      <c r="H1785" s="581"/>
      <c r="I1785" s="581"/>
      <c r="J1785" s="567"/>
      <c r="K1785" s="568"/>
    </row>
    <row r="1786" spans="1:11" x14ac:dyDescent="0.25">
      <c r="A1786" s="609">
        <v>62510</v>
      </c>
      <c r="B1786" s="605" t="s">
        <v>110</v>
      </c>
      <c r="C1786" s="582">
        <v>280</v>
      </c>
      <c r="D1786" s="582">
        <v>4.09</v>
      </c>
      <c r="E1786" s="901">
        <v>280</v>
      </c>
      <c r="F1786" s="582"/>
      <c r="G1786" s="582">
        <v>280</v>
      </c>
      <c r="H1786" s="581"/>
      <c r="I1786" s="581"/>
      <c r="J1786" s="567"/>
      <c r="K1786" s="568"/>
    </row>
    <row r="1787" spans="1:11" x14ac:dyDescent="0.25">
      <c r="A1787" s="609">
        <v>62530</v>
      </c>
      <c r="B1787" s="605" t="s">
        <v>171</v>
      </c>
      <c r="C1787" s="582">
        <v>819</v>
      </c>
      <c r="D1787" s="582">
        <v>122.78</v>
      </c>
      <c r="E1787" s="901">
        <v>960</v>
      </c>
      <c r="F1787" s="582"/>
      <c r="G1787" s="582">
        <v>960</v>
      </c>
      <c r="H1787" s="581"/>
      <c r="I1787" s="581"/>
      <c r="J1787" s="567"/>
      <c r="K1787" s="568"/>
    </row>
    <row r="1788" spans="1:11" x14ac:dyDescent="0.25">
      <c r="A1788" s="609">
        <v>62550</v>
      </c>
      <c r="B1788" s="605" t="s">
        <v>184</v>
      </c>
      <c r="C1788" s="582">
        <v>3142</v>
      </c>
      <c r="D1788" s="582">
        <v>367.05</v>
      </c>
      <c r="E1788" s="901">
        <v>1020</v>
      </c>
      <c r="F1788" s="582"/>
      <c r="G1788" s="582">
        <v>1020</v>
      </c>
      <c r="H1788" s="581"/>
      <c r="I1788" s="581"/>
      <c r="J1788" s="567"/>
      <c r="K1788" s="568"/>
    </row>
    <row r="1789" spans="1:11" x14ac:dyDescent="0.25">
      <c r="A1789" s="609">
        <v>63000</v>
      </c>
      <c r="B1789" s="605" t="s">
        <v>142</v>
      </c>
      <c r="C1789" s="582">
        <v>6667</v>
      </c>
      <c r="D1789" s="582">
        <v>12300</v>
      </c>
      <c r="E1789" s="901">
        <v>6966</v>
      </c>
      <c r="F1789" s="582"/>
      <c r="G1789" s="582">
        <v>6966</v>
      </c>
      <c r="H1789" s="581"/>
      <c r="I1789" s="581"/>
      <c r="J1789" s="567"/>
      <c r="K1789" s="568"/>
    </row>
    <row r="1790" spans="1:11" x14ac:dyDescent="0.25">
      <c r="A1790" s="609">
        <v>63240</v>
      </c>
      <c r="B1790" s="605" t="s">
        <v>773</v>
      </c>
      <c r="C1790" s="582"/>
      <c r="D1790" s="582">
        <v>0</v>
      </c>
      <c r="E1790" s="901">
        <v>0</v>
      </c>
      <c r="F1790" s="582"/>
      <c r="G1790" s="582">
        <v>0</v>
      </c>
      <c r="H1790" s="581"/>
      <c r="I1790" s="581"/>
      <c r="J1790" s="567"/>
      <c r="K1790" s="568"/>
    </row>
    <row r="1791" spans="1:11" x14ac:dyDescent="0.25">
      <c r="A1791" s="609">
        <v>63274</v>
      </c>
      <c r="B1791" s="605" t="s">
        <v>774</v>
      </c>
      <c r="C1791" s="582"/>
      <c r="D1791" s="582">
        <v>0</v>
      </c>
      <c r="E1791" s="901">
        <v>0</v>
      </c>
      <c r="F1791" s="582"/>
      <c r="G1791" s="582">
        <v>0</v>
      </c>
      <c r="H1791" s="581"/>
      <c r="I1791" s="581"/>
      <c r="J1791" s="567"/>
      <c r="K1791" s="568"/>
    </row>
    <row r="1792" spans="1:11" x14ac:dyDescent="0.25">
      <c r="A1792" s="609">
        <v>64900</v>
      </c>
      <c r="B1792" s="605" t="s">
        <v>775</v>
      </c>
      <c r="C1792" s="582"/>
      <c r="D1792" s="582">
        <v>0</v>
      </c>
      <c r="E1792" s="901">
        <v>0</v>
      </c>
      <c r="F1792" s="582"/>
      <c r="G1792" s="582">
        <v>0</v>
      </c>
      <c r="H1792" s="581"/>
      <c r="I1792" s="581"/>
      <c r="J1792" s="567"/>
      <c r="K1792" s="568"/>
    </row>
    <row r="1793" spans="1:11" x14ac:dyDescent="0.25">
      <c r="A1793" s="609">
        <v>65200</v>
      </c>
      <c r="B1793" s="605" t="s">
        <v>776</v>
      </c>
      <c r="C1793" s="582">
        <v>2280</v>
      </c>
      <c r="D1793" s="582">
        <v>1168.1300000000001</v>
      </c>
      <c r="E1793" s="901">
        <v>900</v>
      </c>
      <c r="F1793" s="582"/>
      <c r="G1793" s="582">
        <v>900</v>
      </c>
      <c r="H1793" s="581"/>
      <c r="I1793" s="581"/>
      <c r="J1793" s="567"/>
      <c r="K1793" s="568"/>
    </row>
    <row r="1794" spans="1:11" x14ac:dyDescent="0.25">
      <c r="A1794" s="609">
        <v>65300</v>
      </c>
      <c r="B1794" s="605" t="s">
        <v>777</v>
      </c>
      <c r="C1794" s="582"/>
      <c r="D1794" s="582">
        <v>640</v>
      </c>
      <c r="E1794" s="901">
        <v>400</v>
      </c>
      <c r="F1794" s="582"/>
      <c r="G1794" s="582">
        <v>400</v>
      </c>
      <c r="H1794" s="581"/>
      <c r="I1794" s="581"/>
      <c r="J1794" s="567"/>
      <c r="K1794" s="568"/>
    </row>
    <row r="1795" spans="1:11" x14ac:dyDescent="0.25">
      <c r="A1795" s="609">
        <v>65400</v>
      </c>
      <c r="B1795" s="605" t="s">
        <v>152</v>
      </c>
      <c r="C1795" s="582"/>
      <c r="D1795" s="582"/>
      <c r="E1795" s="901">
        <v>500</v>
      </c>
      <c r="F1795" s="582"/>
      <c r="G1795" s="582">
        <v>500</v>
      </c>
      <c r="H1795" s="581"/>
      <c r="I1795" s="581"/>
      <c r="J1795" s="567"/>
      <c r="K1795" s="568"/>
    </row>
    <row r="1796" spans="1:11" x14ac:dyDescent="0.25">
      <c r="A1796" s="609">
        <v>65500</v>
      </c>
      <c r="B1796" s="605" t="s">
        <v>778</v>
      </c>
      <c r="C1796" s="582">
        <v>1800</v>
      </c>
      <c r="D1796" s="582">
        <v>1180.47</v>
      </c>
      <c r="E1796" s="901">
        <v>1440</v>
      </c>
      <c r="F1796" s="582"/>
      <c r="G1796" s="582">
        <v>1440</v>
      </c>
      <c r="H1796" s="581"/>
      <c r="I1796" s="581"/>
      <c r="J1796" s="567"/>
      <c r="K1796" s="568"/>
    </row>
    <row r="1797" spans="1:11" x14ac:dyDescent="0.25">
      <c r="A1797" s="609">
        <v>65700</v>
      </c>
      <c r="B1797" s="605" t="s">
        <v>153</v>
      </c>
      <c r="C1797" s="582"/>
      <c r="D1797" s="582">
        <v>705</v>
      </c>
      <c r="E1797" s="901">
        <v>600</v>
      </c>
      <c r="F1797" s="582"/>
      <c r="G1797" s="582">
        <v>600</v>
      </c>
      <c r="H1797" s="581"/>
      <c r="I1797" s="581"/>
      <c r="J1797" s="567"/>
      <c r="K1797" s="568"/>
    </row>
    <row r="1798" spans="1:11" x14ac:dyDescent="0.25">
      <c r="A1798" s="609">
        <v>69999</v>
      </c>
      <c r="B1798" s="605" t="s">
        <v>779</v>
      </c>
      <c r="C1798" s="582"/>
      <c r="D1798" s="582">
        <v>0</v>
      </c>
      <c r="E1798" s="901">
        <v>0</v>
      </c>
      <c r="F1798" s="582"/>
      <c r="G1798" s="582">
        <v>0</v>
      </c>
      <c r="H1798" s="581"/>
      <c r="I1798" s="581"/>
      <c r="J1798" s="567"/>
      <c r="K1798" s="568"/>
    </row>
    <row r="1799" spans="1:11" x14ac:dyDescent="0.25">
      <c r="A1799" s="560"/>
      <c r="B1799" s="583" t="s">
        <v>242</v>
      </c>
      <c r="C1799" s="586">
        <f>SUM(C1772:C1798)</f>
        <v>73690</v>
      </c>
      <c r="D1799" s="586">
        <f t="shared" ref="D1799" si="273">SUM(D1772:D1798)</f>
        <v>52496.74</v>
      </c>
      <c r="E1799" s="972">
        <f>SUM(E1772:E1798)</f>
        <v>69666</v>
      </c>
      <c r="F1799" s="586"/>
      <c r="G1799" s="984">
        <f>SUM(G1772:G1798)</f>
        <v>69666</v>
      </c>
      <c r="H1799" s="586">
        <f t="shared" ref="H1799" si="274">SUM(H1772:H1798)</f>
        <v>0</v>
      </c>
      <c r="I1799" s="586"/>
      <c r="J1799" s="693"/>
      <c r="K1799" s="568"/>
    </row>
    <row r="1800" spans="1:11" s="569" customFormat="1" x14ac:dyDescent="0.25">
      <c r="A1800" s="560"/>
      <c r="B1800" s="561"/>
      <c r="C1800" s="564"/>
      <c r="D1800" s="576"/>
      <c r="E1800" s="561"/>
      <c r="F1800" s="564"/>
      <c r="G1800" s="581"/>
      <c r="H1800" s="581"/>
      <c r="I1800" s="581"/>
      <c r="J1800" s="567"/>
      <c r="K1800" s="568"/>
    </row>
    <row r="1801" spans="1:11" s="569" customFormat="1" x14ac:dyDescent="0.25">
      <c r="A1801" s="560"/>
      <c r="B1801" s="561"/>
      <c r="C1801" s="564"/>
      <c r="D1801" s="576"/>
      <c r="E1801" s="561"/>
      <c r="F1801" s="564"/>
      <c r="G1801" s="581"/>
      <c r="H1801" s="581"/>
      <c r="I1801" s="581"/>
      <c r="J1801" s="567"/>
      <c r="K1801" s="568"/>
    </row>
    <row r="1802" spans="1:11" x14ac:dyDescent="0.25">
      <c r="A1802" s="603" t="s">
        <v>1097</v>
      </c>
      <c r="B1802" s="604" t="s">
        <v>781</v>
      </c>
      <c r="C1802" s="573">
        <v>2017</v>
      </c>
      <c r="D1802" s="572" t="s">
        <v>1236</v>
      </c>
      <c r="E1802" s="572">
        <v>2018</v>
      </c>
      <c r="F1802" s="913" t="s">
        <v>1236</v>
      </c>
      <c r="G1802" s="913" t="s">
        <v>4</v>
      </c>
      <c r="H1802" s="913">
        <v>2019</v>
      </c>
      <c r="I1802" s="913" t="s">
        <v>5</v>
      </c>
      <c r="J1802" s="567"/>
      <c r="K1802" s="568"/>
    </row>
    <row r="1803" spans="1:11" x14ac:dyDescent="0.25">
      <c r="A1803" s="560"/>
      <c r="B1803" s="576" t="s">
        <v>93</v>
      </c>
      <c r="C1803" s="573" t="s">
        <v>6</v>
      </c>
      <c r="D1803" s="574">
        <v>43069</v>
      </c>
      <c r="E1803" s="572" t="s">
        <v>6</v>
      </c>
      <c r="F1803" s="914">
        <v>43131</v>
      </c>
      <c r="G1803" s="914" t="s">
        <v>1131</v>
      </c>
      <c r="H1803" s="914" t="s">
        <v>6</v>
      </c>
      <c r="I1803" s="914" t="s">
        <v>7</v>
      </c>
      <c r="J1803" s="567"/>
      <c r="K1803" s="568"/>
    </row>
    <row r="1804" spans="1:11" x14ac:dyDescent="0.25">
      <c r="A1804" s="575">
        <v>40110</v>
      </c>
      <c r="B1804" s="576" t="s">
        <v>283</v>
      </c>
      <c r="C1804" s="581">
        <v>10150</v>
      </c>
      <c r="D1804" s="581">
        <f>4761.82</f>
        <v>4761.82</v>
      </c>
      <c r="E1804" s="901">
        <v>9264</v>
      </c>
      <c r="F1804" s="581"/>
      <c r="G1804" s="581">
        <v>9264</v>
      </c>
      <c r="H1804" s="581"/>
      <c r="I1804" s="581"/>
      <c r="J1804" s="567"/>
      <c r="K1804" s="568"/>
    </row>
    <row r="1805" spans="1:11" x14ac:dyDescent="0.25">
      <c r="A1805" s="575">
        <v>41410</v>
      </c>
      <c r="B1805" s="576" t="s">
        <v>478</v>
      </c>
      <c r="C1805" s="581"/>
      <c r="D1805" s="581">
        <v>13.58</v>
      </c>
      <c r="E1805" s="901">
        <v>28</v>
      </c>
      <c r="F1805" s="581"/>
      <c r="G1805" s="581">
        <v>28</v>
      </c>
      <c r="H1805" s="581"/>
      <c r="I1805" s="581"/>
      <c r="J1805" s="567"/>
      <c r="K1805" s="568"/>
    </row>
    <row r="1806" spans="1:11" x14ac:dyDescent="0.25">
      <c r="A1806" s="575">
        <v>41430</v>
      </c>
      <c r="B1806" s="576" t="s">
        <v>98</v>
      </c>
      <c r="C1806" s="581"/>
      <c r="D1806" s="581">
        <v>0</v>
      </c>
      <c r="E1806" s="901">
        <v>0</v>
      </c>
      <c r="F1806" s="581"/>
      <c r="G1806" s="581">
        <v>0</v>
      </c>
      <c r="H1806" s="581"/>
      <c r="I1806" s="581"/>
      <c r="J1806" s="567"/>
      <c r="K1806" s="568"/>
    </row>
    <row r="1807" spans="1:11" x14ac:dyDescent="0.25">
      <c r="A1807" s="575">
        <v>41440</v>
      </c>
      <c r="B1807" s="576" t="s">
        <v>100</v>
      </c>
      <c r="C1807" s="581">
        <v>629</v>
      </c>
      <c r="D1807" s="581">
        <v>280.37</v>
      </c>
      <c r="E1807" s="901">
        <v>574</v>
      </c>
      <c r="F1807" s="581"/>
      <c r="G1807" s="581">
        <v>574</v>
      </c>
      <c r="H1807" s="581"/>
      <c r="I1807" s="581"/>
      <c r="J1807" s="567"/>
      <c r="K1807" s="568"/>
    </row>
    <row r="1808" spans="1:11" x14ac:dyDescent="0.25">
      <c r="A1808" s="575">
        <v>41450</v>
      </c>
      <c r="B1808" s="576" t="s">
        <v>101</v>
      </c>
      <c r="C1808" s="581">
        <v>147</v>
      </c>
      <c r="D1808" s="581">
        <v>65.58</v>
      </c>
      <c r="E1808" s="901">
        <v>134</v>
      </c>
      <c r="F1808" s="581"/>
      <c r="G1808" s="581">
        <v>134</v>
      </c>
      <c r="H1808" s="581"/>
      <c r="I1808" s="581"/>
      <c r="J1808" s="567"/>
      <c r="K1808" s="568"/>
    </row>
    <row r="1809" spans="1:11" x14ac:dyDescent="0.25">
      <c r="A1809" s="575">
        <v>41470</v>
      </c>
      <c r="B1809" s="576" t="s">
        <v>102</v>
      </c>
      <c r="C1809" s="581"/>
      <c r="D1809" s="581">
        <v>0</v>
      </c>
      <c r="E1809" s="901">
        <v>0</v>
      </c>
      <c r="F1809" s="581"/>
      <c r="G1809" s="581">
        <v>0</v>
      </c>
      <c r="H1809" s="581"/>
      <c r="I1809" s="581"/>
      <c r="J1809" s="567"/>
      <c r="K1809" s="568"/>
    </row>
    <row r="1810" spans="1:11" x14ac:dyDescent="0.25">
      <c r="A1810" s="575">
        <v>54110</v>
      </c>
      <c r="B1810" s="576" t="s">
        <v>103</v>
      </c>
      <c r="C1810" s="581">
        <v>200</v>
      </c>
      <c r="D1810" s="581">
        <v>1369.35</v>
      </c>
      <c r="E1810" s="901">
        <v>200</v>
      </c>
      <c r="F1810" s="581"/>
      <c r="G1810" s="581">
        <v>200</v>
      </c>
      <c r="H1810" s="581"/>
      <c r="I1810" s="581"/>
      <c r="J1810" s="567"/>
      <c r="K1810" s="568"/>
    </row>
    <row r="1811" spans="1:11" x14ac:dyDescent="0.25">
      <c r="A1811" s="575">
        <v>60000</v>
      </c>
      <c r="B1811" s="576" t="s">
        <v>782</v>
      </c>
      <c r="C1811" s="581"/>
      <c r="D1811" s="581">
        <v>0</v>
      </c>
      <c r="E1811" s="901">
        <v>0</v>
      </c>
      <c r="F1811" s="581"/>
      <c r="G1811" s="581">
        <v>0</v>
      </c>
      <c r="H1811" s="581"/>
      <c r="I1811" s="581"/>
      <c r="J1811" s="567"/>
      <c r="K1811" s="568"/>
    </row>
    <row r="1812" spans="1:11" x14ac:dyDescent="0.25">
      <c r="A1812" s="575">
        <v>63000</v>
      </c>
      <c r="B1812" s="576" t="s">
        <v>142</v>
      </c>
      <c r="C1812" s="581"/>
      <c r="D1812" s="581">
        <v>0</v>
      </c>
      <c r="E1812" s="901">
        <v>0</v>
      </c>
      <c r="F1812" s="581"/>
      <c r="G1812" s="581">
        <v>0</v>
      </c>
      <c r="H1812" s="581"/>
      <c r="I1812" s="581"/>
      <c r="J1812" s="567"/>
      <c r="K1812" s="568"/>
    </row>
    <row r="1813" spans="1:11" x14ac:dyDescent="0.25">
      <c r="A1813" s="575">
        <v>63210</v>
      </c>
      <c r="B1813" s="576" t="s">
        <v>108</v>
      </c>
      <c r="C1813" s="581"/>
      <c r="D1813" s="581">
        <v>0</v>
      </c>
      <c r="E1813" s="901">
        <v>0</v>
      </c>
      <c r="F1813" s="581"/>
      <c r="G1813" s="581">
        <v>0</v>
      </c>
      <c r="H1813" s="581"/>
      <c r="I1813" s="581"/>
      <c r="J1813" s="567"/>
      <c r="K1813" s="568"/>
    </row>
    <row r="1814" spans="1:11" x14ac:dyDescent="0.25">
      <c r="A1814" s="575">
        <v>62500</v>
      </c>
      <c r="B1814" s="576" t="s">
        <v>109</v>
      </c>
      <c r="C1814" s="581">
        <v>200</v>
      </c>
      <c r="D1814" s="581">
        <v>0</v>
      </c>
      <c r="E1814" s="901">
        <v>200</v>
      </c>
      <c r="F1814" s="581"/>
      <c r="G1814" s="581">
        <v>200</v>
      </c>
      <c r="H1814" s="581"/>
      <c r="I1814" s="581"/>
      <c r="J1814" s="567"/>
      <c r="K1814" s="568"/>
    </row>
    <row r="1815" spans="1:11" x14ac:dyDescent="0.25">
      <c r="A1815" s="575">
        <v>63240</v>
      </c>
      <c r="B1815" s="576" t="s">
        <v>783</v>
      </c>
      <c r="C1815" s="581"/>
      <c r="D1815" s="581">
        <v>40</v>
      </c>
      <c r="E1815" s="901">
        <v>0</v>
      </c>
      <c r="F1815" s="581"/>
      <c r="G1815" s="581">
        <v>0</v>
      </c>
      <c r="H1815" s="581"/>
      <c r="I1815" s="581"/>
      <c r="J1815" s="567"/>
      <c r="K1815" s="568"/>
    </row>
    <row r="1816" spans="1:11" x14ac:dyDescent="0.25">
      <c r="A1816" s="596"/>
      <c r="B1816" s="583" t="s">
        <v>242</v>
      </c>
      <c r="C1816" s="587">
        <f>SUM(C1804:C1815)</f>
        <v>11326</v>
      </c>
      <c r="D1816" s="587">
        <f t="shared" ref="D1816" si="275">SUM(D1804:D1815)</f>
        <v>6530.6999999999989</v>
      </c>
      <c r="E1816" s="972">
        <f>SUM(E1804:E1815)</f>
        <v>10400</v>
      </c>
      <c r="F1816" s="587">
        <f t="shared" ref="F1816:H1816" si="276">SUM(F1804:F1815)</f>
        <v>0</v>
      </c>
      <c r="G1816" s="698">
        <f>SUM(G1804:G1815)</f>
        <v>10400</v>
      </c>
      <c r="H1816" s="587">
        <f t="shared" si="276"/>
        <v>0</v>
      </c>
      <c r="I1816" s="587"/>
      <c r="J1816" s="567"/>
      <c r="K1816" s="568"/>
    </row>
    <row r="1817" spans="1:11" x14ac:dyDescent="0.25">
      <c r="A1817" s="596"/>
      <c r="B1817" s="583"/>
      <c r="C1817" s="564"/>
      <c r="D1817" s="576"/>
      <c r="E1817" s="583"/>
      <c r="F1817" s="564"/>
      <c r="G1817" s="581"/>
      <c r="H1817" s="581"/>
      <c r="I1817" s="581"/>
      <c r="J1817" s="567"/>
      <c r="K1817" s="568"/>
    </row>
    <row r="1818" spans="1:11" x14ac:dyDescent="0.25">
      <c r="A1818" s="560"/>
      <c r="B1818" s="561"/>
      <c r="C1818" s="564"/>
      <c r="D1818" s="576"/>
      <c r="E1818" s="561"/>
      <c r="F1818" s="564"/>
      <c r="G1818" s="581"/>
      <c r="H1818" s="581"/>
      <c r="I1818" s="581"/>
      <c r="J1818" s="567"/>
      <c r="K1818" s="568"/>
    </row>
    <row r="1819" spans="1:11" x14ac:dyDescent="0.25">
      <c r="A1819" s="603" t="s">
        <v>1098</v>
      </c>
      <c r="B1819" s="604" t="s">
        <v>784</v>
      </c>
      <c r="C1819" s="573">
        <v>2017</v>
      </c>
      <c r="D1819" s="572" t="s">
        <v>1236</v>
      </c>
      <c r="E1819" s="572">
        <v>2018</v>
      </c>
      <c r="F1819" s="913" t="s">
        <v>1236</v>
      </c>
      <c r="G1819" s="913" t="s">
        <v>4</v>
      </c>
      <c r="H1819" s="913">
        <v>2019</v>
      </c>
      <c r="I1819" s="913" t="s">
        <v>5</v>
      </c>
      <c r="J1819" s="567"/>
      <c r="K1819" s="568"/>
    </row>
    <row r="1820" spans="1:11" x14ac:dyDescent="0.25">
      <c r="A1820" s="560"/>
      <c r="B1820" s="576"/>
      <c r="C1820" s="573" t="s">
        <v>6</v>
      </c>
      <c r="D1820" s="574">
        <v>43069</v>
      </c>
      <c r="E1820" s="572" t="s">
        <v>6</v>
      </c>
      <c r="F1820" s="914">
        <v>43131</v>
      </c>
      <c r="G1820" s="914" t="s">
        <v>1131</v>
      </c>
      <c r="H1820" s="914" t="s">
        <v>6</v>
      </c>
      <c r="I1820" s="914" t="s">
        <v>7</v>
      </c>
      <c r="J1820" s="567"/>
      <c r="K1820" s="568"/>
    </row>
    <row r="1821" spans="1:11" s="569" customFormat="1" x14ac:dyDescent="0.25">
      <c r="A1821" s="560"/>
      <c r="B1821" s="576" t="s">
        <v>93</v>
      </c>
      <c r="C1821" s="578"/>
      <c r="D1821" s="577"/>
      <c r="E1821" s="900"/>
      <c r="F1821" s="564"/>
      <c r="G1821" s="581"/>
      <c r="H1821" s="581"/>
      <c r="I1821" s="581"/>
      <c r="J1821" s="567"/>
      <c r="K1821" s="568"/>
    </row>
    <row r="1822" spans="1:11" s="569" customFormat="1" x14ac:dyDescent="0.25">
      <c r="A1822" s="575">
        <v>40110</v>
      </c>
      <c r="B1822" s="576" t="s">
        <v>380</v>
      </c>
      <c r="C1822" s="581">
        <v>20956</v>
      </c>
      <c r="D1822" s="581">
        <f>10570.93+408+318+526</f>
        <v>11822.93</v>
      </c>
      <c r="E1822" s="901">
        <v>20025</v>
      </c>
      <c r="F1822" s="581"/>
      <c r="G1822" s="581">
        <v>20025</v>
      </c>
      <c r="H1822" s="581"/>
      <c r="I1822" s="581"/>
      <c r="J1822" s="776"/>
      <c r="K1822" s="568"/>
    </row>
    <row r="1823" spans="1:11" x14ac:dyDescent="0.25">
      <c r="A1823" s="575">
        <v>41410</v>
      </c>
      <c r="B1823" s="576" t="s">
        <v>478</v>
      </c>
      <c r="C1823" s="581"/>
      <c r="D1823" s="581">
        <v>43.6</v>
      </c>
      <c r="E1823" s="901">
        <v>75</v>
      </c>
      <c r="F1823" s="581"/>
      <c r="G1823" s="581">
        <v>75</v>
      </c>
      <c r="H1823" s="581"/>
      <c r="I1823" s="581"/>
      <c r="J1823" s="567"/>
      <c r="K1823" s="568"/>
    </row>
    <row r="1824" spans="1:11" x14ac:dyDescent="0.25">
      <c r="A1824" s="575">
        <v>41430</v>
      </c>
      <c r="B1824" s="576" t="s">
        <v>98</v>
      </c>
      <c r="C1824" s="581"/>
      <c r="D1824" s="581"/>
      <c r="E1824" s="901">
        <v>0</v>
      </c>
      <c r="F1824" s="581"/>
      <c r="G1824" s="581">
        <v>0</v>
      </c>
      <c r="H1824" s="581"/>
      <c r="I1824" s="581"/>
      <c r="J1824" s="567"/>
      <c r="K1824" s="568"/>
    </row>
    <row r="1825" spans="1:11" x14ac:dyDescent="0.25">
      <c r="A1825" s="575">
        <v>41435</v>
      </c>
      <c r="B1825" s="576" t="s">
        <v>121</v>
      </c>
      <c r="C1825" s="581"/>
      <c r="D1825" s="581">
        <v>2468.6999999999998</v>
      </c>
      <c r="E1825" s="901">
        <v>0</v>
      </c>
      <c r="F1825" s="581"/>
      <c r="G1825" s="581">
        <v>0</v>
      </c>
      <c r="H1825" s="581"/>
      <c r="I1825" s="581"/>
      <c r="J1825" s="649"/>
      <c r="K1825" s="638"/>
    </row>
    <row r="1826" spans="1:11" x14ac:dyDescent="0.25">
      <c r="A1826" s="575">
        <v>41440</v>
      </c>
      <c r="B1826" s="576" t="s">
        <v>100</v>
      </c>
      <c r="C1826" s="581">
        <v>1299</v>
      </c>
      <c r="D1826" s="581">
        <v>900.94</v>
      </c>
      <c r="E1826" s="901">
        <v>1242</v>
      </c>
      <c r="F1826" s="581"/>
      <c r="G1826" s="581">
        <v>1242</v>
      </c>
      <c r="H1826" s="581"/>
      <c r="I1826" s="581"/>
      <c r="J1826" s="649"/>
      <c r="K1826" s="638"/>
    </row>
    <row r="1827" spans="1:11" x14ac:dyDescent="0.25">
      <c r="A1827" s="575">
        <v>41450</v>
      </c>
      <c r="B1827" s="576" t="s">
        <v>101</v>
      </c>
      <c r="C1827" s="581">
        <v>304</v>
      </c>
      <c r="D1827" s="581">
        <v>210.7</v>
      </c>
      <c r="E1827" s="901">
        <v>290</v>
      </c>
      <c r="F1827" s="581"/>
      <c r="G1827" s="581">
        <v>290</v>
      </c>
      <c r="H1827" s="581"/>
      <c r="I1827" s="581"/>
      <c r="J1827" s="649"/>
      <c r="K1827" s="638"/>
    </row>
    <row r="1828" spans="1:11" x14ac:dyDescent="0.25">
      <c r="A1828" s="575">
        <v>41470</v>
      </c>
      <c r="B1828" s="576" t="s">
        <v>102</v>
      </c>
      <c r="C1828" s="581"/>
      <c r="D1828" s="581">
        <v>-3.82</v>
      </c>
      <c r="E1828" s="901">
        <v>0</v>
      </c>
      <c r="F1828" s="581"/>
      <c r="G1828" s="581">
        <v>0</v>
      </c>
      <c r="H1828" s="581"/>
      <c r="I1828" s="581"/>
      <c r="J1828" s="649"/>
      <c r="K1828" s="638"/>
    </row>
    <row r="1829" spans="1:11" s="569" customFormat="1" x14ac:dyDescent="0.25">
      <c r="A1829" s="575">
        <v>54110</v>
      </c>
      <c r="B1829" s="576" t="s">
        <v>785</v>
      </c>
      <c r="C1829" s="581">
        <v>244</v>
      </c>
      <c r="D1829" s="581">
        <v>163.41999999999999</v>
      </c>
      <c r="E1829" s="901">
        <v>268</v>
      </c>
      <c r="F1829" s="581"/>
      <c r="G1829" s="581">
        <v>268</v>
      </c>
      <c r="H1829" s="581"/>
      <c r="I1829" s="581"/>
      <c r="J1829" s="567"/>
      <c r="K1829" s="568"/>
    </row>
    <row r="1830" spans="1:11" s="569" customFormat="1" x14ac:dyDescent="0.25">
      <c r="A1830" s="575">
        <v>54112</v>
      </c>
      <c r="B1830" s="576" t="s">
        <v>786</v>
      </c>
      <c r="C1830" s="581"/>
      <c r="D1830" s="581">
        <v>0</v>
      </c>
      <c r="E1830" s="901">
        <v>0</v>
      </c>
      <c r="F1830" s="581"/>
      <c r="G1830" s="581">
        <v>0</v>
      </c>
      <c r="H1830" s="581"/>
      <c r="I1830" s="581"/>
      <c r="J1830" s="567"/>
      <c r="K1830" s="568"/>
    </row>
    <row r="1831" spans="1:11" x14ac:dyDescent="0.25">
      <c r="A1831" s="575">
        <v>60000</v>
      </c>
      <c r="B1831" s="576" t="s">
        <v>663</v>
      </c>
      <c r="C1831" s="581"/>
      <c r="D1831" s="581">
        <v>135</v>
      </c>
      <c r="E1831" s="901">
        <v>0</v>
      </c>
      <c r="F1831" s="581"/>
      <c r="G1831" s="581">
        <v>0</v>
      </c>
      <c r="H1831" s="581"/>
      <c r="I1831" s="581"/>
      <c r="J1831" s="567"/>
      <c r="K1831" s="568"/>
    </row>
    <row r="1832" spans="1:11" x14ac:dyDescent="0.25">
      <c r="A1832" s="575">
        <v>62310</v>
      </c>
      <c r="B1832" s="576" t="s">
        <v>772</v>
      </c>
      <c r="C1832" s="581"/>
      <c r="D1832" s="581">
        <v>68</v>
      </c>
      <c r="E1832" s="901">
        <v>0</v>
      </c>
      <c r="F1832" s="581"/>
      <c r="G1832" s="581">
        <v>0</v>
      </c>
      <c r="H1832" s="581"/>
      <c r="I1832" s="581"/>
      <c r="J1832" s="567"/>
      <c r="K1832" s="568"/>
    </row>
    <row r="1833" spans="1:11" x14ac:dyDescent="0.25">
      <c r="A1833" s="575">
        <v>62500</v>
      </c>
      <c r="B1833" s="576" t="s">
        <v>1140</v>
      </c>
      <c r="C1833" s="581"/>
      <c r="D1833" s="581">
        <v>91</v>
      </c>
      <c r="E1833" s="901">
        <v>100</v>
      </c>
      <c r="F1833" s="581"/>
      <c r="G1833" s="581">
        <v>100</v>
      </c>
      <c r="H1833" s="581"/>
      <c r="I1833" s="581"/>
      <c r="J1833" s="567"/>
      <c r="K1833" s="568"/>
    </row>
    <row r="1834" spans="1:11" x14ac:dyDescent="0.25">
      <c r="A1834" s="575">
        <v>62510</v>
      </c>
      <c r="B1834" s="576" t="s">
        <v>110</v>
      </c>
      <c r="C1834" s="581">
        <v>200</v>
      </c>
      <c r="D1834" s="581">
        <v>87.24</v>
      </c>
      <c r="E1834" s="901">
        <v>0</v>
      </c>
      <c r="F1834" s="581"/>
      <c r="G1834" s="581">
        <v>0</v>
      </c>
      <c r="H1834" s="581"/>
      <c r="I1834" s="581"/>
      <c r="J1834" s="567"/>
      <c r="K1834" s="568"/>
    </row>
    <row r="1835" spans="1:11" x14ac:dyDescent="0.25">
      <c r="A1835" s="575">
        <v>62550</v>
      </c>
      <c r="B1835" s="576" t="s">
        <v>1214</v>
      </c>
      <c r="C1835" s="581">
        <v>600</v>
      </c>
      <c r="D1835" s="581">
        <v>10.66</v>
      </c>
      <c r="E1835" s="901">
        <v>0</v>
      </c>
      <c r="F1835" s="581"/>
      <c r="G1835" s="581">
        <v>0</v>
      </c>
      <c r="H1835" s="581"/>
      <c r="I1835" s="581"/>
      <c r="J1835" s="567"/>
      <c r="K1835" s="568"/>
    </row>
    <row r="1836" spans="1:11" x14ac:dyDescent="0.25">
      <c r="A1836" s="575">
        <v>63240</v>
      </c>
      <c r="B1836" s="576" t="s">
        <v>783</v>
      </c>
      <c r="C1836" s="581"/>
      <c r="D1836" s="581">
        <v>0</v>
      </c>
      <c r="E1836" s="901">
        <v>0</v>
      </c>
      <c r="F1836" s="581"/>
      <c r="G1836" s="581">
        <v>0</v>
      </c>
      <c r="H1836" s="581"/>
      <c r="I1836" s="581"/>
      <c r="J1836" s="567"/>
      <c r="K1836" s="568"/>
    </row>
    <row r="1837" spans="1:11" x14ac:dyDescent="0.25">
      <c r="A1837" s="575">
        <v>69999</v>
      </c>
      <c r="B1837" s="576" t="s">
        <v>115</v>
      </c>
      <c r="C1837" s="581"/>
      <c r="D1837" s="581">
        <v>0</v>
      </c>
      <c r="E1837" s="901">
        <v>0</v>
      </c>
      <c r="F1837" s="581"/>
      <c r="G1837" s="581">
        <v>0</v>
      </c>
      <c r="H1837" s="581"/>
      <c r="I1837" s="581"/>
      <c r="J1837" s="567"/>
      <c r="K1837" s="568"/>
    </row>
    <row r="1838" spans="1:11" x14ac:dyDescent="0.25">
      <c r="A1838" s="575"/>
      <c r="B1838" s="583" t="s">
        <v>242</v>
      </c>
      <c r="C1838" s="584">
        <f>SUM(C1822:C1837)</f>
        <v>23603</v>
      </c>
      <c r="D1838" s="584">
        <f t="shared" ref="D1838" si="277">SUM(D1822:D1837)</f>
        <v>15998.37</v>
      </c>
      <c r="E1838" s="972">
        <f>SUM(E1822:E1837)</f>
        <v>22000</v>
      </c>
      <c r="F1838" s="584">
        <f t="shared" ref="F1838:H1838" si="278">SUM(F1822:F1837)</f>
        <v>0</v>
      </c>
      <c r="G1838" s="708">
        <f>SUM(G1822:G1837)</f>
        <v>22000</v>
      </c>
      <c r="H1838" s="584">
        <f t="shared" si="278"/>
        <v>0</v>
      </c>
      <c r="I1838" s="584"/>
      <c r="J1838" s="567"/>
      <c r="K1838" s="568"/>
    </row>
    <row r="1839" spans="1:11" x14ac:dyDescent="0.25">
      <c r="A1839" s="575"/>
      <c r="B1839" s="583"/>
      <c r="C1839" s="564"/>
      <c r="D1839" s="576"/>
      <c r="E1839" s="583"/>
      <c r="F1839" s="564"/>
      <c r="G1839" s="581"/>
      <c r="H1839" s="581"/>
      <c r="I1839" s="581"/>
      <c r="J1839" s="567"/>
      <c r="K1839" s="568"/>
    </row>
    <row r="1840" spans="1:11" x14ac:dyDescent="0.25">
      <c r="A1840" s="580"/>
      <c r="B1840" s="561"/>
      <c r="C1840" s="564"/>
      <c r="D1840" s="745"/>
      <c r="E1840" s="561"/>
      <c r="F1840" s="564"/>
      <c r="G1840" s="581"/>
      <c r="H1840" s="581"/>
      <c r="I1840" s="581"/>
      <c r="J1840" s="567"/>
      <c r="K1840" s="568"/>
    </row>
    <row r="1841" spans="1:11" x14ac:dyDescent="0.25">
      <c r="A1841" s="592" t="s">
        <v>1099</v>
      </c>
      <c r="B1841" s="604" t="s">
        <v>787</v>
      </c>
      <c r="C1841" s="573">
        <v>2017</v>
      </c>
      <c r="D1841" s="572" t="s">
        <v>1236</v>
      </c>
      <c r="E1841" s="572">
        <v>2018</v>
      </c>
      <c r="F1841" s="913" t="s">
        <v>1236</v>
      </c>
      <c r="G1841" s="913" t="s">
        <v>4</v>
      </c>
      <c r="H1841" s="913">
        <v>2019</v>
      </c>
      <c r="I1841" s="913" t="s">
        <v>5</v>
      </c>
      <c r="J1841" s="567"/>
      <c r="K1841" s="568"/>
    </row>
    <row r="1842" spans="1:11" x14ac:dyDescent="0.25">
      <c r="A1842" s="575"/>
      <c r="B1842" s="583"/>
      <c r="C1842" s="573" t="s">
        <v>6</v>
      </c>
      <c r="D1842" s="574">
        <v>43069</v>
      </c>
      <c r="E1842" s="572" t="s">
        <v>6</v>
      </c>
      <c r="F1842" s="914">
        <v>43131</v>
      </c>
      <c r="G1842" s="914" t="s">
        <v>1131</v>
      </c>
      <c r="H1842" s="914" t="s">
        <v>6</v>
      </c>
      <c r="I1842" s="914" t="s">
        <v>7</v>
      </c>
      <c r="J1842" s="567"/>
      <c r="K1842" s="568"/>
    </row>
    <row r="1843" spans="1:11" x14ac:dyDescent="0.25">
      <c r="A1843" s="576"/>
      <c r="B1843" s="576" t="s">
        <v>93</v>
      </c>
      <c r="C1843" s="578"/>
      <c r="D1843" s="577"/>
      <c r="E1843" s="900"/>
      <c r="F1843" s="564"/>
      <c r="G1843" s="581"/>
      <c r="H1843" s="581"/>
      <c r="I1843" s="581"/>
      <c r="J1843" s="567"/>
      <c r="K1843" s="568"/>
    </row>
    <row r="1844" spans="1:11" x14ac:dyDescent="0.25">
      <c r="A1844" s="575">
        <v>54112</v>
      </c>
      <c r="B1844" s="576" t="s">
        <v>788</v>
      </c>
      <c r="C1844" s="581">
        <v>3000</v>
      </c>
      <c r="D1844" s="576">
        <v>997.75</v>
      </c>
      <c r="E1844" s="901">
        <v>2900</v>
      </c>
      <c r="F1844" s="581"/>
      <c r="G1844" s="581">
        <v>2900</v>
      </c>
      <c r="H1844" s="562"/>
      <c r="I1844" s="562"/>
      <c r="J1844" s="567"/>
      <c r="K1844" s="568"/>
    </row>
    <row r="1845" spans="1:11" x14ac:dyDescent="0.25">
      <c r="A1845" s="575">
        <v>62500</v>
      </c>
      <c r="B1845" s="576" t="s">
        <v>1157</v>
      </c>
      <c r="C1845" s="581"/>
      <c r="D1845" s="576">
        <v>0</v>
      </c>
      <c r="E1845" s="901">
        <v>100</v>
      </c>
      <c r="F1845" s="581"/>
      <c r="G1845" s="581">
        <v>100</v>
      </c>
      <c r="H1845" s="562"/>
      <c r="I1845" s="562"/>
      <c r="J1845" s="567"/>
      <c r="K1845" s="568"/>
    </row>
    <row r="1846" spans="1:11" x14ac:dyDescent="0.25">
      <c r="A1846" s="575">
        <v>68010</v>
      </c>
      <c r="B1846" s="576" t="s">
        <v>678</v>
      </c>
      <c r="C1846" s="581">
        <v>1000</v>
      </c>
      <c r="D1846" s="562">
        <v>0</v>
      </c>
      <c r="E1846" s="901">
        <v>1000</v>
      </c>
      <c r="F1846" s="581"/>
      <c r="G1846" s="581">
        <v>1000</v>
      </c>
      <c r="H1846" s="562"/>
      <c r="I1846" s="562"/>
      <c r="J1846" s="567"/>
      <c r="K1846" s="568"/>
    </row>
    <row r="1847" spans="1:11" x14ac:dyDescent="0.25">
      <c r="A1847" s="575"/>
      <c r="B1847" s="583" t="s">
        <v>242</v>
      </c>
      <c r="C1847" s="584">
        <f>SUM(C1844:C1846)</f>
        <v>4000</v>
      </c>
      <c r="D1847" s="584">
        <f t="shared" ref="D1847" si="279">SUM(D1844:D1846)</f>
        <v>997.75</v>
      </c>
      <c r="E1847" s="972">
        <f>SUM(E1844:E1846)</f>
        <v>4000</v>
      </c>
      <c r="F1847" s="584">
        <f t="shared" ref="F1847:H1847" si="280">SUM(F1844:F1846)</f>
        <v>0</v>
      </c>
      <c r="G1847" s="708">
        <f>SUM(G1844:G1846)</f>
        <v>4000</v>
      </c>
      <c r="H1847" s="584">
        <f t="shared" si="280"/>
        <v>0</v>
      </c>
      <c r="I1847" s="584"/>
      <c r="J1847" s="567"/>
      <c r="K1847" s="568"/>
    </row>
    <row r="1848" spans="1:11" x14ac:dyDescent="0.25">
      <c r="A1848" s="575"/>
      <c r="B1848" s="583"/>
      <c r="C1848" s="564"/>
      <c r="D1848" s="581"/>
      <c r="E1848" s="938"/>
      <c r="F1848" s="564"/>
      <c r="G1848" s="581"/>
      <c r="H1848" s="581"/>
      <c r="I1848" s="581"/>
      <c r="J1848" s="567"/>
      <c r="K1848" s="568"/>
    </row>
    <row r="1849" spans="1:11" x14ac:dyDescent="0.25">
      <c r="A1849" s="580"/>
      <c r="B1849" s="561"/>
      <c r="C1849" s="564"/>
      <c r="D1849" s="576"/>
      <c r="E1849" s="561"/>
      <c r="F1849" s="564"/>
      <c r="G1849" s="581"/>
      <c r="H1849" s="581"/>
      <c r="I1849" s="581"/>
      <c r="J1849" s="567"/>
      <c r="K1849" s="568"/>
    </row>
    <row r="1850" spans="1:11" x14ac:dyDescent="0.25">
      <c r="A1850" s="592" t="s">
        <v>1100</v>
      </c>
      <c r="B1850" s="604" t="s">
        <v>789</v>
      </c>
      <c r="C1850" s="573">
        <v>2017</v>
      </c>
      <c r="D1850" s="572" t="s">
        <v>1236</v>
      </c>
      <c r="E1850" s="572">
        <v>2018</v>
      </c>
      <c r="F1850" s="913" t="s">
        <v>1236</v>
      </c>
      <c r="G1850" s="913" t="s">
        <v>4</v>
      </c>
      <c r="H1850" s="913">
        <v>2019</v>
      </c>
      <c r="I1850" s="913" t="s">
        <v>5</v>
      </c>
      <c r="J1850" s="567"/>
      <c r="K1850" s="568"/>
    </row>
    <row r="1851" spans="1:11" x14ac:dyDescent="0.25">
      <c r="A1851" s="575"/>
      <c r="B1851" s="576" t="s">
        <v>93</v>
      </c>
      <c r="C1851" s="573" t="s">
        <v>6</v>
      </c>
      <c r="D1851" s="574">
        <v>43069</v>
      </c>
      <c r="E1851" s="572" t="s">
        <v>6</v>
      </c>
      <c r="F1851" s="914">
        <v>43131</v>
      </c>
      <c r="G1851" s="914" t="s">
        <v>1131</v>
      </c>
      <c r="H1851" s="914" t="s">
        <v>6</v>
      </c>
      <c r="I1851" s="914" t="s">
        <v>7</v>
      </c>
      <c r="J1851" s="567"/>
      <c r="K1851" s="568"/>
    </row>
    <row r="1852" spans="1:11" x14ac:dyDescent="0.25">
      <c r="A1852" s="575"/>
      <c r="B1852" s="576"/>
      <c r="C1852" s="578"/>
      <c r="D1852" s="577"/>
      <c r="E1852" s="576"/>
      <c r="F1852" s="564"/>
      <c r="G1852" s="581"/>
      <c r="H1852" s="581"/>
      <c r="I1852" s="581"/>
      <c r="J1852" s="567"/>
      <c r="K1852" s="568"/>
    </row>
    <row r="1853" spans="1:11" s="569" customFormat="1" x14ac:dyDescent="0.25">
      <c r="A1853" s="575">
        <v>40110</v>
      </c>
      <c r="B1853" s="576" t="s">
        <v>283</v>
      </c>
      <c r="C1853" s="564">
        <v>0</v>
      </c>
      <c r="D1853" s="581">
        <f>832</f>
        <v>832</v>
      </c>
      <c r="E1853" s="576"/>
      <c r="F1853" s="564"/>
      <c r="G1853" s="581"/>
      <c r="H1853" s="581"/>
      <c r="I1853" s="581"/>
      <c r="J1853" s="567"/>
      <c r="K1853" s="568"/>
    </row>
    <row r="1854" spans="1:11" s="569" customFormat="1" x14ac:dyDescent="0.25">
      <c r="A1854" s="575">
        <v>41410</v>
      </c>
      <c r="B1854" s="576" t="s">
        <v>478</v>
      </c>
      <c r="C1854" s="564">
        <v>0</v>
      </c>
      <c r="D1854" s="581">
        <v>2.5</v>
      </c>
      <c r="E1854" s="576"/>
      <c r="F1854" s="564"/>
      <c r="G1854" s="581"/>
      <c r="H1854" s="581"/>
      <c r="I1854" s="581"/>
      <c r="J1854" s="567"/>
      <c r="K1854" s="568"/>
    </row>
    <row r="1855" spans="1:11" x14ac:dyDescent="0.25">
      <c r="A1855" s="575">
        <v>41430</v>
      </c>
      <c r="B1855" s="576" t="s">
        <v>98</v>
      </c>
      <c r="C1855" s="564">
        <v>0</v>
      </c>
      <c r="D1855" s="581">
        <v>0</v>
      </c>
      <c r="E1855" s="576"/>
      <c r="F1855" s="564"/>
      <c r="G1855" s="581"/>
      <c r="H1855" s="581"/>
      <c r="I1855" s="581"/>
      <c r="J1855" s="567"/>
      <c r="K1855" s="568"/>
    </row>
    <row r="1856" spans="1:11" x14ac:dyDescent="0.25">
      <c r="A1856" s="575">
        <v>41440</v>
      </c>
      <c r="B1856" s="576" t="s">
        <v>100</v>
      </c>
      <c r="C1856" s="564">
        <v>0</v>
      </c>
      <c r="D1856" s="581">
        <v>51.58</v>
      </c>
      <c r="E1856" s="576"/>
      <c r="F1856" s="564"/>
      <c r="G1856" s="581"/>
      <c r="H1856" s="581"/>
      <c r="I1856" s="581"/>
      <c r="J1856" s="567"/>
      <c r="K1856" s="568"/>
    </row>
    <row r="1857" spans="1:11" x14ac:dyDescent="0.25">
      <c r="A1857" s="575">
        <v>41450</v>
      </c>
      <c r="B1857" s="576" t="s">
        <v>101</v>
      </c>
      <c r="C1857" s="564">
        <v>0</v>
      </c>
      <c r="D1857" s="581">
        <v>12.06</v>
      </c>
      <c r="E1857" s="576"/>
      <c r="F1857" s="564"/>
      <c r="G1857" s="581"/>
      <c r="H1857" s="581"/>
      <c r="I1857" s="581"/>
      <c r="J1857" s="567"/>
      <c r="K1857" s="568"/>
    </row>
    <row r="1858" spans="1:11" x14ac:dyDescent="0.25">
      <c r="A1858" s="575">
        <v>41470</v>
      </c>
      <c r="B1858" s="576" t="s">
        <v>102</v>
      </c>
      <c r="C1858" s="564">
        <v>0</v>
      </c>
      <c r="D1858" s="581">
        <v>0.66</v>
      </c>
      <c r="E1858" s="576"/>
      <c r="F1858" s="564"/>
      <c r="G1858" s="581"/>
      <c r="H1858" s="581"/>
      <c r="I1858" s="581"/>
      <c r="J1858" s="567"/>
      <c r="K1858" s="568"/>
    </row>
    <row r="1859" spans="1:11" x14ac:dyDescent="0.25">
      <c r="A1859" s="575">
        <v>54110</v>
      </c>
      <c r="B1859" s="576" t="s">
        <v>790</v>
      </c>
      <c r="C1859" s="564">
        <v>0</v>
      </c>
      <c r="D1859" s="581">
        <v>0</v>
      </c>
      <c r="E1859" s="576"/>
      <c r="F1859" s="564"/>
      <c r="G1859" s="581"/>
      <c r="H1859" s="581"/>
      <c r="I1859" s="581"/>
      <c r="J1859" s="567"/>
      <c r="K1859" s="568"/>
    </row>
    <row r="1860" spans="1:11" x14ac:dyDescent="0.25">
      <c r="A1860" s="575">
        <v>59823</v>
      </c>
      <c r="B1860" s="576" t="s">
        <v>791</v>
      </c>
      <c r="C1860" s="564">
        <v>0</v>
      </c>
      <c r="D1860" s="581">
        <v>0</v>
      </c>
      <c r="E1860" s="576"/>
      <c r="F1860" s="564"/>
      <c r="G1860" s="581"/>
      <c r="H1860" s="581"/>
      <c r="I1860" s="581"/>
      <c r="J1860" s="567"/>
      <c r="K1860" s="568"/>
    </row>
    <row r="1861" spans="1:11" x14ac:dyDescent="0.25">
      <c r="A1861" s="575">
        <v>60000</v>
      </c>
      <c r="B1861" s="576" t="s">
        <v>782</v>
      </c>
      <c r="C1861" s="564">
        <v>0</v>
      </c>
      <c r="D1861" s="581">
        <v>272</v>
      </c>
      <c r="E1861" s="576"/>
      <c r="F1861" s="564"/>
      <c r="G1861" s="581"/>
      <c r="H1861" s="581"/>
      <c r="I1861" s="581"/>
      <c r="J1861" s="567"/>
      <c r="K1861" s="568"/>
    </row>
    <row r="1862" spans="1:11" x14ac:dyDescent="0.25">
      <c r="A1862" s="575">
        <v>61200</v>
      </c>
      <c r="B1862" s="576" t="s">
        <v>771</v>
      </c>
      <c r="C1862" s="564">
        <v>0</v>
      </c>
      <c r="D1862" s="581">
        <v>0</v>
      </c>
      <c r="E1862" s="576"/>
      <c r="F1862" s="564"/>
      <c r="G1862" s="581"/>
      <c r="H1862" s="581"/>
      <c r="I1862" s="581"/>
      <c r="J1862" s="567"/>
      <c r="K1862" s="568"/>
    </row>
    <row r="1863" spans="1:11" x14ac:dyDescent="0.25">
      <c r="A1863" s="575">
        <v>62310</v>
      </c>
      <c r="B1863" s="576" t="s">
        <v>108</v>
      </c>
      <c r="C1863" s="564">
        <v>0</v>
      </c>
      <c r="D1863" s="581">
        <v>0</v>
      </c>
      <c r="E1863" s="576"/>
      <c r="F1863" s="564"/>
      <c r="G1863" s="581"/>
      <c r="H1863" s="581"/>
      <c r="I1863" s="581"/>
      <c r="J1863" s="567"/>
      <c r="K1863" s="568"/>
    </row>
    <row r="1864" spans="1:11" x14ac:dyDescent="0.25">
      <c r="A1864" s="575">
        <v>62500</v>
      </c>
      <c r="B1864" s="576" t="s">
        <v>109</v>
      </c>
      <c r="C1864" s="564">
        <v>0</v>
      </c>
      <c r="D1864" s="581">
        <v>0</v>
      </c>
      <c r="E1864" s="576"/>
      <c r="F1864" s="564"/>
      <c r="G1864" s="581"/>
      <c r="H1864" s="581"/>
      <c r="I1864" s="581"/>
      <c r="J1864" s="567"/>
      <c r="K1864" s="568"/>
    </row>
    <row r="1865" spans="1:11" x14ac:dyDescent="0.25">
      <c r="A1865" s="575">
        <v>62510</v>
      </c>
      <c r="B1865" s="576" t="s">
        <v>110</v>
      </c>
      <c r="C1865" s="564">
        <v>0</v>
      </c>
      <c r="D1865" s="581">
        <v>0</v>
      </c>
      <c r="E1865" s="576"/>
      <c r="F1865" s="564"/>
      <c r="G1865" s="581"/>
      <c r="H1865" s="581"/>
      <c r="I1865" s="581"/>
      <c r="J1865" s="567"/>
      <c r="K1865" s="659"/>
    </row>
    <row r="1866" spans="1:11" x14ac:dyDescent="0.25">
      <c r="A1866" s="575">
        <v>62530</v>
      </c>
      <c r="B1866" s="576" t="s">
        <v>171</v>
      </c>
      <c r="C1866" s="564">
        <v>0</v>
      </c>
      <c r="D1866" s="581">
        <v>0</v>
      </c>
      <c r="E1866" s="576"/>
      <c r="F1866" s="564"/>
      <c r="G1866" s="581"/>
      <c r="H1866" s="581"/>
      <c r="I1866" s="581"/>
      <c r="J1866" s="567"/>
      <c r="K1866" s="568"/>
    </row>
    <row r="1867" spans="1:11" x14ac:dyDescent="0.25">
      <c r="A1867" s="575">
        <v>62550</v>
      </c>
      <c r="B1867" s="576" t="s">
        <v>184</v>
      </c>
      <c r="C1867" s="564">
        <v>0</v>
      </c>
      <c r="D1867" s="581">
        <v>0</v>
      </c>
      <c r="E1867" s="576"/>
      <c r="F1867" s="564"/>
      <c r="G1867" s="581"/>
      <c r="H1867" s="581"/>
      <c r="I1867" s="581"/>
      <c r="J1867" s="567"/>
      <c r="K1867" s="568"/>
    </row>
    <row r="1868" spans="1:11" x14ac:dyDescent="0.25">
      <c r="A1868" s="575">
        <v>65000</v>
      </c>
      <c r="B1868" s="576" t="s">
        <v>792</v>
      </c>
      <c r="C1868" s="564">
        <v>0</v>
      </c>
      <c r="D1868" s="581">
        <v>0</v>
      </c>
      <c r="E1868" s="576"/>
      <c r="F1868" s="564"/>
      <c r="G1868" s="581"/>
      <c r="H1868" s="581"/>
      <c r="I1868" s="581"/>
      <c r="J1868" s="567"/>
      <c r="K1868" s="568"/>
    </row>
    <row r="1869" spans="1:11" x14ac:dyDescent="0.25">
      <c r="A1869" s="575">
        <v>65500</v>
      </c>
      <c r="B1869" s="576" t="s">
        <v>113</v>
      </c>
      <c r="C1869" s="564">
        <v>0</v>
      </c>
      <c r="D1869" s="581">
        <v>0</v>
      </c>
      <c r="E1869" s="576"/>
      <c r="F1869" s="564"/>
      <c r="G1869" s="581"/>
      <c r="H1869" s="581"/>
      <c r="I1869" s="581"/>
      <c r="J1869" s="567"/>
      <c r="K1869" s="568"/>
    </row>
    <row r="1870" spans="1:11" x14ac:dyDescent="0.25">
      <c r="A1870" s="575">
        <v>69999</v>
      </c>
      <c r="B1870" s="576" t="s">
        <v>793</v>
      </c>
      <c r="C1870" s="610">
        <v>0</v>
      </c>
      <c r="D1870" s="581">
        <v>0</v>
      </c>
      <c r="E1870" s="576"/>
      <c r="F1870" s="564"/>
      <c r="G1870" s="581"/>
      <c r="H1870" s="581"/>
      <c r="I1870" s="581"/>
      <c r="J1870" s="567"/>
      <c r="K1870" s="659"/>
    </row>
    <row r="1871" spans="1:11" x14ac:dyDescent="0.25">
      <c r="A1871" s="596"/>
      <c r="B1871" s="583" t="s">
        <v>242</v>
      </c>
      <c r="C1871" s="588">
        <f>SUM(C1853:C1870)</f>
        <v>0</v>
      </c>
      <c r="D1871" s="587">
        <f t="shared" ref="D1871" si="281">SUM(D1853:D1870)</f>
        <v>1170.8</v>
      </c>
      <c r="E1871" s="583"/>
      <c r="F1871" s="588"/>
      <c r="G1871" s="587"/>
      <c r="H1871" s="587"/>
      <c r="I1871" s="587"/>
      <c r="J1871" s="567"/>
      <c r="K1871" s="568"/>
    </row>
    <row r="1872" spans="1:11" x14ac:dyDescent="0.25">
      <c r="A1872" s="596"/>
      <c r="B1872" s="583"/>
      <c r="C1872" s="564"/>
      <c r="D1872" s="576"/>
      <c r="E1872" s="583"/>
      <c r="F1872" s="564"/>
      <c r="G1872" s="581"/>
      <c r="H1872" s="581"/>
      <c r="I1872" s="581"/>
      <c r="J1872" s="567"/>
      <c r="K1872" s="568"/>
    </row>
    <row r="1873" spans="1:11" x14ac:dyDescent="0.25">
      <c r="A1873" s="560"/>
      <c r="B1873" s="561"/>
      <c r="C1873" s="564"/>
      <c r="D1873" s="576"/>
      <c r="E1873" s="561"/>
      <c r="F1873" s="564"/>
      <c r="G1873" s="581"/>
      <c r="H1873" s="581"/>
      <c r="I1873" s="581"/>
      <c r="J1873" s="567"/>
      <c r="K1873" s="568"/>
    </row>
    <row r="1874" spans="1:11" x14ac:dyDescent="0.25">
      <c r="A1874" s="603" t="s">
        <v>1101</v>
      </c>
      <c r="B1874" s="604" t="s">
        <v>1132</v>
      </c>
      <c r="C1874" s="912">
        <v>2017</v>
      </c>
      <c r="D1874" s="913" t="s">
        <v>1236</v>
      </c>
      <c r="E1874" s="913">
        <v>2018</v>
      </c>
      <c r="F1874" s="913" t="s">
        <v>1236</v>
      </c>
      <c r="G1874" s="913" t="s">
        <v>4</v>
      </c>
      <c r="H1874" s="913">
        <v>2019</v>
      </c>
      <c r="I1874" s="913" t="s">
        <v>5</v>
      </c>
      <c r="J1874" s="567"/>
      <c r="K1874" s="568"/>
    </row>
    <row r="1875" spans="1:11" s="569" customFormat="1" x14ac:dyDescent="0.25">
      <c r="A1875" s="590"/>
      <c r="B1875" s="576" t="s">
        <v>93</v>
      </c>
      <c r="C1875" s="912" t="s">
        <v>6</v>
      </c>
      <c r="D1875" s="914">
        <v>43069</v>
      </c>
      <c r="E1875" s="913" t="s">
        <v>6</v>
      </c>
      <c r="F1875" s="914">
        <v>43131</v>
      </c>
      <c r="G1875" s="914" t="s">
        <v>1131</v>
      </c>
      <c r="H1875" s="914" t="s">
        <v>6</v>
      </c>
      <c r="I1875" s="914" t="s">
        <v>7</v>
      </c>
      <c r="J1875" s="567"/>
      <c r="K1875" s="568"/>
    </row>
    <row r="1876" spans="1:11" x14ac:dyDescent="0.25">
      <c r="A1876" s="590"/>
      <c r="B1876" s="576"/>
      <c r="C1876" s="578"/>
      <c r="D1876" s="577"/>
      <c r="E1876" s="901"/>
      <c r="F1876" s="581"/>
      <c r="G1876" s="581"/>
      <c r="H1876" s="581"/>
      <c r="I1876" s="581"/>
      <c r="J1876" s="567"/>
      <c r="K1876" s="568"/>
    </row>
    <row r="1877" spans="1:11" x14ac:dyDescent="0.25">
      <c r="A1877" s="575">
        <v>40110</v>
      </c>
      <c r="B1877" s="576" t="s">
        <v>97</v>
      </c>
      <c r="C1877" s="581">
        <v>0</v>
      </c>
      <c r="D1877" s="581">
        <v>0</v>
      </c>
      <c r="E1877" s="901">
        <v>0</v>
      </c>
      <c r="F1877" s="581"/>
      <c r="G1877" s="581">
        <v>0</v>
      </c>
      <c r="H1877" s="581"/>
      <c r="I1877" s="581"/>
      <c r="J1877" s="567"/>
      <c r="K1877" s="568"/>
    </row>
    <row r="1878" spans="1:11" x14ac:dyDescent="0.25">
      <c r="A1878" s="575">
        <v>41410</v>
      </c>
      <c r="B1878" s="576" t="s">
        <v>478</v>
      </c>
      <c r="C1878" s="581">
        <v>0</v>
      </c>
      <c r="D1878" s="581">
        <v>0</v>
      </c>
      <c r="E1878" s="901">
        <v>0</v>
      </c>
      <c r="F1878" s="581"/>
      <c r="G1878" s="581">
        <v>0</v>
      </c>
      <c r="H1878" s="581"/>
      <c r="I1878" s="581"/>
      <c r="J1878" s="567"/>
      <c r="K1878" s="568"/>
    </row>
    <row r="1879" spans="1:11" x14ac:dyDescent="0.25">
      <c r="A1879" s="575">
        <v>41430</v>
      </c>
      <c r="B1879" s="576" t="s">
        <v>98</v>
      </c>
      <c r="C1879" s="581">
        <v>0</v>
      </c>
      <c r="D1879" s="581">
        <v>0</v>
      </c>
      <c r="E1879" s="901">
        <v>0</v>
      </c>
      <c r="F1879" s="581"/>
      <c r="G1879" s="581">
        <v>0</v>
      </c>
      <c r="H1879" s="581"/>
      <c r="I1879" s="581"/>
      <c r="J1879" s="567"/>
      <c r="K1879" s="568"/>
    </row>
    <row r="1880" spans="1:11" x14ac:dyDescent="0.25">
      <c r="A1880" s="575">
        <v>41440</v>
      </c>
      <c r="B1880" s="576" t="s">
        <v>100</v>
      </c>
      <c r="C1880" s="581">
        <v>0</v>
      </c>
      <c r="D1880" s="581">
        <v>0</v>
      </c>
      <c r="E1880" s="901">
        <v>0</v>
      </c>
      <c r="F1880" s="581"/>
      <c r="G1880" s="581">
        <v>0</v>
      </c>
      <c r="H1880" s="581"/>
      <c r="I1880" s="581"/>
      <c r="J1880" s="567"/>
      <c r="K1880" s="568"/>
    </row>
    <row r="1881" spans="1:11" x14ac:dyDescent="0.25">
      <c r="A1881" s="575">
        <v>41450</v>
      </c>
      <c r="B1881" s="576" t="s">
        <v>101</v>
      </c>
      <c r="C1881" s="581">
        <v>0</v>
      </c>
      <c r="D1881" s="581">
        <v>0</v>
      </c>
      <c r="E1881" s="901">
        <v>0</v>
      </c>
      <c r="F1881" s="581"/>
      <c r="G1881" s="581">
        <v>0</v>
      </c>
      <c r="H1881" s="581"/>
      <c r="I1881" s="581"/>
      <c r="J1881" s="567"/>
      <c r="K1881" s="568"/>
    </row>
    <row r="1882" spans="1:11" x14ac:dyDescent="0.25">
      <c r="A1882" s="575">
        <v>41470</v>
      </c>
      <c r="B1882" s="576" t="s">
        <v>102</v>
      </c>
      <c r="C1882" s="581">
        <v>0</v>
      </c>
      <c r="D1882" s="581">
        <v>0</v>
      </c>
      <c r="E1882" s="901">
        <v>0</v>
      </c>
      <c r="F1882" s="581"/>
      <c r="G1882" s="581">
        <v>0</v>
      </c>
      <c r="H1882" s="581"/>
      <c r="I1882" s="581"/>
      <c r="J1882" s="567"/>
      <c r="K1882" s="568"/>
    </row>
    <row r="1883" spans="1:11" x14ac:dyDescent="0.25">
      <c r="A1883" s="575">
        <v>54110</v>
      </c>
      <c r="B1883" s="576" t="s">
        <v>790</v>
      </c>
      <c r="C1883" s="581">
        <v>1500</v>
      </c>
      <c r="D1883" s="581">
        <v>1479</v>
      </c>
      <c r="E1883" s="901">
        <v>2000</v>
      </c>
      <c r="F1883" s="581"/>
      <c r="G1883" s="581">
        <v>2000</v>
      </c>
      <c r="H1883" s="581"/>
      <c r="I1883" s="581"/>
      <c r="J1883" s="567"/>
      <c r="K1883" s="568"/>
    </row>
    <row r="1884" spans="1:11" x14ac:dyDescent="0.25">
      <c r="A1884" s="575">
        <v>54115</v>
      </c>
      <c r="B1884" s="576" t="s">
        <v>794</v>
      </c>
      <c r="C1884" s="581">
        <v>0</v>
      </c>
      <c r="D1884" s="581">
        <v>274.82</v>
      </c>
      <c r="E1884" s="901">
        <v>0</v>
      </c>
      <c r="F1884" s="581"/>
      <c r="G1884" s="581">
        <v>0</v>
      </c>
      <c r="H1884" s="581"/>
      <c r="I1884" s="581"/>
      <c r="J1884" s="567"/>
      <c r="K1884" s="568"/>
    </row>
    <row r="1885" spans="1:11" x14ac:dyDescent="0.25">
      <c r="A1885" s="575">
        <v>60000</v>
      </c>
      <c r="B1885" s="576" t="s">
        <v>782</v>
      </c>
      <c r="C1885" s="581">
        <v>0</v>
      </c>
      <c r="D1885" s="581">
        <v>0</v>
      </c>
      <c r="E1885" s="901">
        <v>0</v>
      </c>
      <c r="F1885" s="581"/>
      <c r="G1885" s="581">
        <v>0</v>
      </c>
      <c r="H1885" s="581"/>
      <c r="I1885" s="581"/>
      <c r="J1885" s="567"/>
      <c r="K1885" s="568"/>
    </row>
    <row r="1886" spans="1:11" x14ac:dyDescent="0.25">
      <c r="A1886" s="575">
        <v>62510</v>
      </c>
      <c r="B1886" s="576" t="s">
        <v>110</v>
      </c>
      <c r="C1886" s="581">
        <v>0</v>
      </c>
      <c r="D1886" s="581">
        <v>0</v>
      </c>
      <c r="E1886" s="901">
        <v>0</v>
      </c>
      <c r="F1886" s="581"/>
      <c r="G1886" s="581">
        <v>0</v>
      </c>
      <c r="H1886" s="581"/>
      <c r="I1886" s="581"/>
      <c r="J1886" s="567"/>
      <c r="K1886" s="568"/>
    </row>
    <row r="1887" spans="1:11" x14ac:dyDescent="0.25">
      <c r="A1887" s="575">
        <v>62550</v>
      </c>
      <c r="B1887" s="576" t="s">
        <v>127</v>
      </c>
      <c r="C1887" s="581">
        <v>0</v>
      </c>
      <c r="D1887" s="581">
        <v>40.799999999999997</v>
      </c>
      <c r="E1887" s="901">
        <v>0</v>
      </c>
      <c r="F1887" s="581"/>
      <c r="G1887" s="581">
        <v>0</v>
      </c>
      <c r="H1887" s="581"/>
      <c r="I1887" s="581"/>
      <c r="J1887" s="567"/>
      <c r="K1887" s="568"/>
    </row>
    <row r="1888" spans="1:11" x14ac:dyDescent="0.25">
      <c r="A1888" s="575">
        <v>63000</v>
      </c>
      <c r="B1888" s="576" t="s">
        <v>142</v>
      </c>
      <c r="C1888" s="581">
        <v>5000</v>
      </c>
      <c r="D1888" s="581">
        <v>4600</v>
      </c>
      <c r="E1888" s="901">
        <v>5000</v>
      </c>
      <c r="F1888" s="581"/>
      <c r="G1888" s="581">
        <v>5000</v>
      </c>
      <c r="H1888" s="581"/>
      <c r="I1888" s="581"/>
      <c r="J1888" s="567"/>
      <c r="K1888" s="568"/>
    </row>
    <row r="1889" spans="1:11" x14ac:dyDescent="0.25">
      <c r="A1889" s="575">
        <v>63001</v>
      </c>
      <c r="B1889" s="576" t="s">
        <v>795</v>
      </c>
      <c r="C1889" s="581">
        <v>0</v>
      </c>
      <c r="D1889" s="581">
        <v>0</v>
      </c>
      <c r="E1889" s="901">
        <v>0</v>
      </c>
      <c r="F1889" s="581"/>
      <c r="G1889" s="581">
        <v>0</v>
      </c>
      <c r="H1889" s="581"/>
      <c r="I1889" s="581"/>
      <c r="J1889" s="567"/>
      <c r="K1889" s="568"/>
    </row>
    <row r="1890" spans="1:11" x14ac:dyDescent="0.25">
      <c r="A1890" s="575">
        <v>65000</v>
      </c>
      <c r="B1890" s="576" t="s">
        <v>792</v>
      </c>
      <c r="C1890" s="581">
        <v>0</v>
      </c>
      <c r="D1890" s="581">
        <v>0</v>
      </c>
      <c r="E1890" s="901">
        <v>0</v>
      </c>
      <c r="F1890" s="581"/>
      <c r="G1890" s="581">
        <v>0</v>
      </c>
      <c r="H1890" s="581"/>
      <c r="I1890" s="581"/>
      <c r="J1890" s="567"/>
      <c r="K1890" s="568"/>
    </row>
    <row r="1891" spans="1:11" x14ac:dyDescent="0.25">
      <c r="A1891" s="575">
        <v>69991</v>
      </c>
      <c r="B1891" s="576" t="s">
        <v>796</v>
      </c>
      <c r="C1891" s="581">
        <v>0</v>
      </c>
      <c r="D1891" s="581">
        <v>0</v>
      </c>
      <c r="E1891" s="901">
        <v>0</v>
      </c>
      <c r="F1891" s="581"/>
      <c r="G1891" s="581">
        <v>0</v>
      </c>
      <c r="H1891" s="581"/>
      <c r="I1891" s="581"/>
      <c r="J1891" s="567"/>
      <c r="K1891" s="568"/>
    </row>
    <row r="1892" spans="1:11" x14ac:dyDescent="0.25">
      <c r="A1892" s="575">
        <v>69999</v>
      </c>
      <c r="B1892" s="576" t="s">
        <v>355</v>
      </c>
      <c r="C1892" s="581">
        <v>0</v>
      </c>
      <c r="D1892" s="581">
        <v>0</v>
      </c>
      <c r="E1892" s="901">
        <v>0</v>
      </c>
      <c r="F1892" s="581">
        <v>0</v>
      </c>
      <c r="G1892" s="581">
        <v>0</v>
      </c>
      <c r="H1892" s="581"/>
      <c r="I1892" s="581"/>
      <c r="J1892" s="567"/>
      <c r="K1892" s="568"/>
    </row>
    <row r="1893" spans="1:11" x14ac:dyDescent="0.25">
      <c r="A1893" s="590"/>
      <c r="B1893" s="583" t="s">
        <v>242</v>
      </c>
      <c r="C1893" s="584">
        <f>SUM(C1877:C1892)</f>
        <v>6500</v>
      </c>
      <c r="D1893" s="584">
        <f t="shared" ref="D1893" si="282">SUM(D1877:D1892)</f>
        <v>6394.62</v>
      </c>
      <c r="E1893" s="972">
        <f>SUM(E1877:E1892)</f>
        <v>7000</v>
      </c>
      <c r="F1893" s="584">
        <f t="shared" ref="F1893:H1893" si="283">SUM(F1877:F1892)</f>
        <v>0</v>
      </c>
      <c r="G1893" s="708">
        <f>SUM(G1877:G1892)</f>
        <v>7000</v>
      </c>
      <c r="H1893" s="584">
        <f t="shared" si="283"/>
        <v>0</v>
      </c>
      <c r="I1893" s="584"/>
      <c r="J1893" s="567"/>
      <c r="K1893" s="568"/>
    </row>
    <row r="1894" spans="1:11" x14ac:dyDescent="0.25">
      <c r="A1894" s="590"/>
      <c r="B1894" s="583"/>
      <c r="C1894" s="564"/>
      <c r="D1894" s="584"/>
      <c r="E1894" s="938"/>
      <c r="F1894" s="564"/>
      <c r="G1894" s="581"/>
      <c r="H1894" s="581"/>
      <c r="I1894" s="581"/>
      <c r="J1894" s="567"/>
      <c r="K1894" s="568"/>
    </row>
    <row r="1895" spans="1:11" x14ac:dyDescent="0.25">
      <c r="A1895" s="560"/>
      <c r="B1895" s="561"/>
      <c r="C1895" s="564"/>
      <c r="D1895" s="576"/>
      <c r="E1895" s="561"/>
      <c r="F1895" s="564"/>
      <c r="G1895" s="581"/>
      <c r="H1895" s="581"/>
      <c r="I1895" s="581"/>
      <c r="J1895" s="567"/>
      <c r="K1895" s="568"/>
    </row>
    <row r="1896" spans="1:11" x14ac:dyDescent="0.25">
      <c r="A1896" s="603" t="s">
        <v>1102</v>
      </c>
      <c r="B1896" s="604" t="s">
        <v>797</v>
      </c>
      <c r="C1896" s="573">
        <v>2017</v>
      </c>
      <c r="D1896" s="572" t="s">
        <v>1236</v>
      </c>
      <c r="E1896" s="572">
        <v>2018</v>
      </c>
      <c r="F1896" s="913" t="s">
        <v>1236</v>
      </c>
      <c r="G1896" s="913" t="s">
        <v>4</v>
      </c>
      <c r="H1896" s="913">
        <v>2019</v>
      </c>
      <c r="I1896" s="913" t="s">
        <v>5</v>
      </c>
      <c r="J1896" s="567"/>
      <c r="K1896" s="568"/>
    </row>
    <row r="1897" spans="1:11" x14ac:dyDescent="0.25">
      <c r="A1897" s="596"/>
      <c r="B1897" s="575" t="s">
        <v>93</v>
      </c>
      <c r="C1897" s="573" t="s">
        <v>6</v>
      </c>
      <c r="D1897" s="574">
        <v>43069</v>
      </c>
      <c r="E1897" s="572" t="s">
        <v>6</v>
      </c>
      <c r="F1897" s="914">
        <v>43131</v>
      </c>
      <c r="G1897" s="914" t="s">
        <v>1131</v>
      </c>
      <c r="H1897" s="914" t="s">
        <v>6</v>
      </c>
      <c r="I1897" s="914" t="s">
        <v>7</v>
      </c>
      <c r="J1897" s="567"/>
      <c r="K1897" s="568"/>
    </row>
    <row r="1898" spans="1:11" x14ac:dyDescent="0.25">
      <c r="A1898" s="575">
        <v>40110</v>
      </c>
      <c r="B1898" s="576" t="s">
        <v>283</v>
      </c>
      <c r="C1898" s="581">
        <v>21447</v>
      </c>
      <c r="D1898" s="581">
        <f>8157.31+539.94+2575.28+128</f>
        <v>11400.53</v>
      </c>
      <c r="E1898" s="901">
        <v>16850</v>
      </c>
      <c r="F1898" s="581"/>
      <c r="G1898" s="581">
        <v>16850</v>
      </c>
      <c r="H1898" s="581"/>
      <c r="I1898" s="581"/>
      <c r="J1898" s="567"/>
      <c r="K1898" s="568"/>
    </row>
    <row r="1899" spans="1:11" s="569" customFormat="1" x14ac:dyDescent="0.25">
      <c r="A1899" s="575">
        <v>41410</v>
      </c>
      <c r="B1899" s="576" t="s">
        <v>478</v>
      </c>
      <c r="C1899" s="581"/>
      <c r="D1899" s="581">
        <v>29.58</v>
      </c>
      <c r="E1899" s="901">
        <v>51</v>
      </c>
      <c r="F1899" s="581"/>
      <c r="G1899" s="581">
        <v>51</v>
      </c>
      <c r="H1899" s="581"/>
      <c r="I1899" s="581"/>
      <c r="J1899" s="567"/>
      <c r="K1899" s="568"/>
    </row>
    <row r="1900" spans="1:11" x14ac:dyDescent="0.25">
      <c r="A1900" s="575">
        <v>41430</v>
      </c>
      <c r="B1900" s="576" t="s">
        <v>98</v>
      </c>
      <c r="C1900" s="581"/>
      <c r="D1900" s="581">
        <v>2741.53</v>
      </c>
      <c r="E1900" s="901">
        <v>2203</v>
      </c>
      <c r="F1900" s="581"/>
      <c r="G1900" s="581">
        <v>2203</v>
      </c>
      <c r="H1900" s="581"/>
      <c r="I1900" s="581"/>
      <c r="J1900" s="567"/>
      <c r="K1900" s="568"/>
    </row>
    <row r="1901" spans="1:11" x14ac:dyDescent="0.25">
      <c r="A1901" s="575">
        <v>41440</v>
      </c>
      <c r="B1901" s="576" t="s">
        <v>100</v>
      </c>
      <c r="C1901" s="581">
        <v>1330</v>
      </c>
      <c r="D1901" s="581">
        <v>611.59</v>
      </c>
      <c r="E1901" s="901">
        <v>1054</v>
      </c>
      <c r="F1901" s="581"/>
      <c r="G1901" s="581">
        <v>1054</v>
      </c>
      <c r="H1901" s="581"/>
      <c r="I1901" s="581"/>
      <c r="J1901" s="567"/>
      <c r="K1901" s="568"/>
    </row>
    <row r="1902" spans="1:11" x14ac:dyDescent="0.25">
      <c r="A1902" s="575">
        <v>41450</v>
      </c>
      <c r="B1902" s="576" t="s">
        <v>101</v>
      </c>
      <c r="C1902" s="581">
        <v>311</v>
      </c>
      <c r="D1902" s="581">
        <v>143.04</v>
      </c>
      <c r="E1902" s="901">
        <v>1045</v>
      </c>
      <c r="F1902" s="581"/>
      <c r="G1902" s="581">
        <v>1045</v>
      </c>
      <c r="H1902" s="581"/>
      <c r="I1902" s="581"/>
      <c r="J1902" s="567"/>
      <c r="K1902" s="568"/>
    </row>
    <row r="1903" spans="1:11" x14ac:dyDescent="0.25">
      <c r="A1903" s="575">
        <v>41470</v>
      </c>
      <c r="B1903" s="576" t="s">
        <v>102</v>
      </c>
      <c r="C1903" s="581"/>
      <c r="D1903" s="581">
        <v>8.1</v>
      </c>
      <c r="E1903" s="901">
        <v>244</v>
      </c>
      <c r="F1903" s="581"/>
      <c r="G1903" s="581">
        <v>244</v>
      </c>
      <c r="H1903" s="581"/>
      <c r="I1903" s="581"/>
      <c r="J1903" s="567"/>
      <c r="K1903" s="568"/>
    </row>
    <row r="1904" spans="1:11" x14ac:dyDescent="0.25">
      <c r="A1904" s="575">
        <v>54110</v>
      </c>
      <c r="B1904" s="576" t="s">
        <v>103</v>
      </c>
      <c r="C1904" s="581">
        <v>1400</v>
      </c>
      <c r="D1904" s="581">
        <v>2165.75</v>
      </c>
      <c r="E1904" s="901">
        <v>1400</v>
      </c>
      <c r="F1904" s="581"/>
      <c r="G1904" s="581">
        <v>1400</v>
      </c>
      <c r="H1904" s="581"/>
      <c r="I1904" s="581"/>
      <c r="J1904" s="567"/>
      <c r="K1904" s="568"/>
    </row>
    <row r="1905" spans="1:11" x14ac:dyDescent="0.25">
      <c r="A1905" s="575">
        <v>54115</v>
      </c>
      <c r="B1905" s="576" t="s">
        <v>798</v>
      </c>
      <c r="C1905" s="581"/>
      <c r="D1905" s="581">
        <v>385.42</v>
      </c>
      <c r="E1905" s="901">
        <v>0</v>
      </c>
      <c r="F1905" s="581"/>
      <c r="G1905" s="581">
        <v>0</v>
      </c>
      <c r="H1905" s="581"/>
      <c r="I1905" s="581"/>
      <c r="J1905" s="567"/>
      <c r="K1905" s="568"/>
    </row>
    <row r="1906" spans="1:11" x14ac:dyDescent="0.25">
      <c r="A1906" s="575">
        <v>59399</v>
      </c>
      <c r="B1906" s="576" t="s">
        <v>799</v>
      </c>
      <c r="C1906" s="581"/>
      <c r="D1906" s="581">
        <v>0</v>
      </c>
      <c r="E1906" s="901">
        <v>0</v>
      </c>
      <c r="F1906" s="581"/>
      <c r="G1906" s="581">
        <v>0</v>
      </c>
      <c r="H1906" s="581"/>
      <c r="I1906" s="581"/>
      <c r="J1906" s="567"/>
      <c r="K1906" s="568"/>
    </row>
    <row r="1907" spans="1:11" x14ac:dyDescent="0.25">
      <c r="A1907" s="575">
        <v>60000</v>
      </c>
      <c r="B1907" s="576" t="s">
        <v>800</v>
      </c>
      <c r="C1907" s="581"/>
      <c r="D1907" s="581">
        <v>58.3</v>
      </c>
      <c r="E1907" s="901">
        <v>500</v>
      </c>
      <c r="F1907" s="581"/>
      <c r="G1907" s="581">
        <v>500</v>
      </c>
      <c r="H1907" s="581"/>
      <c r="I1907" s="581"/>
      <c r="J1907" s="567"/>
      <c r="K1907" s="568"/>
    </row>
    <row r="1908" spans="1:11" x14ac:dyDescent="0.25">
      <c r="A1908" s="575">
        <v>61201</v>
      </c>
      <c r="B1908" s="576" t="s">
        <v>801</v>
      </c>
      <c r="C1908" s="581"/>
      <c r="D1908" s="581">
        <v>0</v>
      </c>
      <c r="E1908" s="901">
        <v>0</v>
      </c>
      <c r="F1908" s="581"/>
      <c r="G1908" s="581">
        <v>0</v>
      </c>
      <c r="H1908" s="581"/>
      <c r="I1908" s="581"/>
      <c r="J1908" s="567"/>
      <c r="K1908" s="568"/>
    </row>
    <row r="1909" spans="1:11" x14ac:dyDescent="0.25">
      <c r="A1909" s="575">
        <v>62310</v>
      </c>
      <c r="B1909" s="576" t="s">
        <v>772</v>
      </c>
      <c r="C1909" s="581"/>
      <c r="D1909" s="581">
        <v>0</v>
      </c>
      <c r="E1909" s="901">
        <v>0</v>
      </c>
      <c r="F1909" s="581"/>
      <c r="G1909" s="581">
        <v>0</v>
      </c>
      <c r="H1909" s="581"/>
      <c r="I1909" s="581"/>
      <c r="J1909" s="567"/>
      <c r="K1909" s="568"/>
    </row>
    <row r="1910" spans="1:11" x14ac:dyDescent="0.25">
      <c r="A1910" s="575">
        <v>62500</v>
      </c>
      <c r="B1910" s="576" t="s">
        <v>109</v>
      </c>
      <c r="C1910" s="581">
        <v>1000</v>
      </c>
      <c r="D1910" s="581">
        <v>152.36000000000001</v>
      </c>
      <c r="E1910" s="901">
        <v>500</v>
      </c>
      <c r="F1910" s="581"/>
      <c r="G1910" s="581">
        <v>500</v>
      </c>
      <c r="H1910" s="581"/>
      <c r="I1910" s="581"/>
      <c r="J1910" s="567"/>
      <c r="K1910" s="568"/>
    </row>
    <row r="1911" spans="1:11" x14ac:dyDescent="0.25">
      <c r="A1911" s="575">
        <v>62510</v>
      </c>
      <c r="B1911" s="576" t="s">
        <v>110</v>
      </c>
      <c r="C1911" s="581">
        <v>500</v>
      </c>
      <c r="D1911" s="581">
        <v>164.3</v>
      </c>
      <c r="E1911" s="901">
        <v>500</v>
      </c>
      <c r="F1911" s="581"/>
      <c r="G1911" s="581">
        <v>500</v>
      </c>
      <c r="H1911" s="581"/>
      <c r="I1911" s="581"/>
      <c r="J1911" s="567"/>
      <c r="K1911" s="568"/>
    </row>
    <row r="1912" spans="1:11" x14ac:dyDescent="0.25">
      <c r="A1912" s="575">
        <v>62530</v>
      </c>
      <c r="B1912" s="576" t="s">
        <v>171</v>
      </c>
      <c r="C1912" s="581">
        <v>963</v>
      </c>
      <c r="D1912" s="581">
        <v>364</v>
      </c>
      <c r="E1912" s="901">
        <v>963</v>
      </c>
      <c r="F1912" s="581"/>
      <c r="G1912" s="581">
        <v>963</v>
      </c>
      <c r="H1912" s="581"/>
      <c r="I1912" s="581"/>
      <c r="J1912" s="567"/>
      <c r="K1912" s="568"/>
    </row>
    <row r="1913" spans="1:11" x14ac:dyDescent="0.25">
      <c r="A1913" s="575">
        <v>62550</v>
      </c>
      <c r="B1913" s="576" t="s">
        <v>127</v>
      </c>
      <c r="C1913" s="581"/>
      <c r="D1913" s="581">
        <v>811.14</v>
      </c>
      <c r="E1913" s="901">
        <v>0</v>
      </c>
      <c r="F1913" s="581"/>
      <c r="G1913" s="581">
        <v>0</v>
      </c>
      <c r="H1913" s="581"/>
      <c r="I1913" s="581"/>
      <c r="J1913" s="567"/>
      <c r="K1913" s="568"/>
    </row>
    <row r="1914" spans="1:11" x14ac:dyDescent="0.25">
      <c r="A1914" s="575">
        <v>63000</v>
      </c>
      <c r="B1914" s="576" t="s">
        <v>802</v>
      </c>
      <c r="C1914" s="581"/>
      <c r="D1914" s="581">
        <v>5219.84</v>
      </c>
      <c r="E1914" s="901">
        <v>0</v>
      </c>
      <c r="F1914" s="581"/>
      <c r="G1914" s="581">
        <v>0</v>
      </c>
      <c r="H1914" s="581"/>
      <c r="I1914" s="581"/>
      <c r="J1914" s="567"/>
      <c r="K1914" s="568"/>
    </row>
    <row r="1915" spans="1:11" x14ac:dyDescent="0.25">
      <c r="A1915" s="575">
        <v>65500</v>
      </c>
      <c r="B1915" s="576" t="s">
        <v>803</v>
      </c>
      <c r="C1915" s="581"/>
      <c r="D1915" s="581">
        <v>0</v>
      </c>
      <c r="E1915" s="901">
        <v>0</v>
      </c>
      <c r="F1915" s="581"/>
      <c r="G1915" s="581">
        <v>0</v>
      </c>
      <c r="H1915" s="581"/>
      <c r="I1915" s="581"/>
      <c r="J1915" s="567"/>
      <c r="K1915" s="568"/>
    </row>
    <row r="1916" spans="1:11" x14ac:dyDescent="0.25">
      <c r="A1916" s="575">
        <v>65710</v>
      </c>
      <c r="B1916" s="576" t="s">
        <v>804</v>
      </c>
      <c r="C1916" s="581"/>
      <c r="D1916" s="581">
        <v>0</v>
      </c>
      <c r="E1916" s="901">
        <v>0</v>
      </c>
      <c r="F1916" s="581"/>
      <c r="G1916" s="581">
        <v>0</v>
      </c>
      <c r="H1916" s="581"/>
      <c r="I1916" s="581"/>
      <c r="J1916" s="567"/>
      <c r="K1916" s="568"/>
    </row>
    <row r="1917" spans="1:11" s="569" customFormat="1" x14ac:dyDescent="0.25">
      <c r="A1917" s="596"/>
      <c r="B1917" s="583" t="s">
        <v>242</v>
      </c>
      <c r="C1917" s="587">
        <f>SUM(C1898:C1916)</f>
        <v>26951</v>
      </c>
      <c r="D1917" s="587">
        <f t="shared" ref="D1917" si="284">SUM(D1898:D1916)</f>
        <v>24255.48</v>
      </c>
      <c r="E1917" s="972">
        <f>SUM(E1898:E1916)</f>
        <v>25310</v>
      </c>
      <c r="F1917" s="587">
        <f t="shared" ref="F1917:H1917" si="285">SUM(F1898:F1916)</f>
        <v>0</v>
      </c>
      <c r="G1917" s="698">
        <f>SUM(G1898:G1916)</f>
        <v>25310</v>
      </c>
      <c r="H1917" s="587">
        <f t="shared" si="285"/>
        <v>0</v>
      </c>
      <c r="I1917" s="587"/>
      <c r="J1917" s="567"/>
      <c r="K1917" s="568"/>
    </row>
    <row r="1918" spans="1:11" x14ac:dyDescent="0.25">
      <c r="A1918" s="590"/>
      <c r="B1918" s="583"/>
      <c r="C1918" s="564"/>
      <c r="D1918" s="584"/>
      <c r="E1918" s="938"/>
      <c r="F1918" s="564"/>
      <c r="G1918" s="581"/>
      <c r="H1918" s="581"/>
      <c r="I1918" s="581"/>
      <c r="J1918" s="567"/>
      <c r="K1918" s="568"/>
    </row>
    <row r="1919" spans="1:11" x14ac:dyDescent="0.25">
      <c r="A1919" s="560"/>
      <c r="B1919" s="561"/>
      <c r="C1919" s="564"/>
      <c r="D1919" s="576"/>
      <c r="E1919" s="561"/>
      <c r="F1919" s="564"/>
      <c r="G1919" s="581"/>
      <c r="H1919" s="581"/>
      <c r="I1919" s="581"/>
      <c r="J1919" s="567"/>
      <c r="K1919" s="568"/>
    </row>
    <row r="1920" spans="1:11" x14ac:dyDescent="0.25">
      <c r="A1920" s="603" t="s">
        <v>1103</v>
      </c>
      <c r="B1920" s="604" t="s">
        <v>1135</v>
      </c>
      <c r="C1920" s="573">
        <v>2017</v>
      </c>
      <c r="D1920" s="572" t="s">
        <v>1236</v>
      </c>
      <c r="E1920" s="572">
        <v>2018</v>
      </c>
      <c r="F1920" s="913" t="s">
        <v>1236</v>
      </c>
      <c r="G1920" s="913" t="s">
        <v>4</v>
      </c>
      <c r="H1920" s="913">
        <v>2019</v>
      </c>
      <c r="I1920" s="913" t="s">
        <v>5</v>
      </c>
      <c r="J1920" s="567"/>
      <c r="K1920" s="568"/>
    </row>
    <row r="1921" spans="1:11" x14ac:dyDescent="0.25">
      <c r="A1921" s="590" t="s">
        <v>1139</v>
      </c>
      <c r="B1921" s="576" t="s">
        <v>93</v>
      </c>
      <c r="C1921" s="573" t="s">
        <v>6</v>
      </c>
      <c r="D1921" s="574">
        <v>43069</v>
      </c>
      <c r="E1921" s="572" t="s">
        <v>6</v>
      </c>
      <c r="F1921" s="914">
        <v>43131</v>
      </c>
      <c r="G1921" s="914" t="s">
        <v>1131</v>
      </c>
      <c r="H1921" s="914" t="s">
        <v>6</v>
      </c>
      <c r="I1921" s="914" t="s">
        <v>7</v>
      </c>
      <c r="J1921" s="567"/>
      <c r="K1921" s="568"/>
    </row>
    <row r="1922" spans="1:11" x14ac:dyDescent="0.25">
      <c r="A1922" s="575">
        <v>40110</v>
      </c>
      <c r="B1922" s="576" t="s">
        <v>97</v>
      </c>
      <c r="C1922" s="564"/>
      <c r="D1922" s="564"/>
      <c r="E1922" s="564"/>
      <c r="F1922" s="564"/>
      <c r="G1922" s="581"/>
      <c r="H1922" s="581"/>
      <c r="I1922" s="581"/>
      <c r="J1922" s="567"/>
      <c r="K1922" s="568"/>
    </row>
    <row r="1923" spans="1:11" x14ac:dyDescent="0.25">
      <c r="A1923" s="575">
        <v>41410</v>
      </c>
      <c r="B1923" s="576" t="s">
        <v>478</v>
      </c>
      <c r="C1923" s="564"/>
      <c r="D1923" s="564"/>
      <c r="E1923" s="564"/>
      <c r="F1923" s="564"/>
      <c r="G1923" s="581"/>
      <c r="H1923" s="581"/>
      <c r="I1923" s="581"/>
      <c r="J1923" s="567"/>
      <c r="K1923" s="568"/>
    </row>
    <row r="1924" spans="1:11" x14ac:dyDescent="0.25">
      <c r="A1924" s="575">
        <v>41430</v>
      </c>
      <c r="B1924" s="576" t="s">
        <v>98</v>
      </c>
      <c r="C1924" s="564"/>
      <c r="D1924" s="564"/>
      <c r="E1924" s="564"/>
      <c r="F1924" s="564"/>
      <c r="G1924" s="581"/>
      <c r="H1924" s="581"/>
      <c r="I1924" s="581"/>
      <c r="J1924" s="567"/>
      <c r="K1924" s="568"/>
    </row>
    <row r="1925" spans="1:11" x14ac:dyDescent="0.25">
      <c r="A1925" s="575">
        <v>41440</v>
      </c>
      <c r="B1925" s="576" t="s">
        <v>100</v>
      </c>
      <c r="C1925" s="564"/>
      <c r="D1925" s="564"/>
      <c r="E1925" s="564"/>
      <c r="F1925" s="564"/>
      <c r="G1925" s="581"/>
      <c r="H1925" s="581"/>
      <c r="I1925" s="581"/>
      <c r="J1925" s="567"/>
      <c r="K1925" s="568"/>
    </row>
    <row r="1926" spans="1:11" x14ac:dyDescent="0.25">
      <c r="A1926" s="575">
        <v>41450</v>
      </c>
      <c r="B1926" s="576" t="s">
        <v>101</v>
      </c>
      <c r="C1926" s="564"/>
      <c r="D1926" s="564"/>
      <c r="E1926" s="564"/>
      <c r="F1926" s="564"/>
      <c r="G1926" s="581"/>
      <c r="H1926" s="581"/>
      <c r="I1926" s="581"/>
      <c r="J1926" s="567"/>
      <c r="K1926" s="568"/>
    </row>
    <row r="1927" spans="1:11" x14ac:dyDescent="0.25">
      <c r="A1927" s="575">
        <v>41470</v>
      </c>
      <c r="B1927" s="576" t="s">
        <v>102</v>
      </c>
      <c r="C1927" s="564"/>
      <c r="D1927" s="564"/>
      <c r="E1927" s="564"/>
      <c r="F1927" s="564"/>
      <c r="G1927" s="581"/>
      <c r="H1927" s="581"/>
      <c r="I1927" s="581"/>
      <c r="J1927" s="567"/>
      <c r="K1927" s="568"/>
    </row>
    <row r="1928" spans="1:11" x14ac:dyDescent="0.25">
      <c r="A1928" s="575">
        <v>54110</v>
      </c>
      <c r="B1928" s="576" t="s">
        <v>790</v>
      </c>
      <c r="C1928" s="564"/>
      <c r="D1928" s="564"/>
      <c r="E1928" s="564"/>
      <c r="F1928" s="564"/>
      <c r="G1928" s="581"/>
      <c r="H1928" s="581"/>
      <c r="I1928" s="581"/>
      <c r="J1928" s="567"/>
      <c r="K1928" s="568"/>
    </row>
    <row r="1929" spans="1:11" s="569" customFormat="1" x14ac:dyDescent="0.25">
      <c r="A1929" s="575">
        <v>60000</v>
      </c>
      <c r="B1929" s="576" t="s">
        <v>782</v>
      </c>
      <c r="C1929" s="564"/>
      <c r="D1929" s="564"/>
      <c r="E1929" s="564"/>
      <c r="F1929" s="564"/>
      <c r="G1929" s="581"/>
      <c r="H1929" s="581"/>
      <c r="I1929" s="581"/>
      <c r="J1929" s="567"/>
      <c r="K1929" s="568"/>
    </row>
    <row r="1930" spans="1:11" s="569" customFormat="1" x14ac:dyDescent="0.25">
      <c r="A1930" s="575">
        <v>62500</v>
      </c>
      <c r="B1930" s="576" t="s">
        <v>109</v>
      </c>
      <c r="C1930" s="564"/>
      <c r="D1930" s="564"/>
      <c r="E1930" s="564"/>
      <c r="F1930" s="564"/>
      <c r="G1930" s="581"/>
      <c r="H1930" s="581"/>
      <c r="I1930" s="581"/>
      <c r="J1930" s="567"/>
      <c r="K1930" s="568"/>
    </row>
    <row r="1931" spans="1:11" x14ac:dyDescent="0.25">
      <c r="A1931" s="575">
        <v>62510</v>
      </c>
      <c r="B1931" s="576" t="s">
        <v>110</v>
      </c>
      <c r="C1931" s="564"/>
      <c r="D1931" s="564"/>
      <c r="E1931" s="564"/>
      <c r="F1931" s="564"/>
      <c r="G1931" s="581"/>
      <c r="H1931" s="581"/>
      <c r="I1931" s="581"/>
      <c r="J1931" s="567"/>
      <c r="K1931" s="568"/>
    </row>
    <row r="1932" spans="1:11" x14ac:dyDescent="0.25">
      <c r="A1932" s="575">
        <v>62530</v>
      </c>
      <c r="B1932" s="576" t="s">
        <v>171</v>
      </c>
      <c r="C1932" s="564"/>
      <c r="D1932" s="564"/>
      <c r="E1932" s="564"/>
      <c r="F1932" s="564"/>
      <c r="G1932" s="581"/>
      <c r="H1932" s="581"/>
      <c r="I1932" s="581"/>
      <c r="J1932" s="567"/>
      <c r="K1932" s="568"/>
    </row>
    <row r="1933" spans="1:11" x14ac:dyDescent="0.25">
      <c r="A1933" s="575">
        <v>62550</v>
      </c>
      <c r="B1933" s="576" t="s">
        <v>127</v>
      </c>
      <c r="C1933" s="564"/>
      <c r="D1933" s="564"/>
      <c r="E1933" s="564"/>
      <c r="F1933" s="564"/>
      <c r="G1933" s="581"/>
      <c r="H1933" s="581"/>
      <c r="I1933" s="581"/>
      <c r="J1933" s="567"/>
      <c r="K1933" s="568"/>
    </row>
    <row r="1934" spans="1:11" x14ac:dyDescent="0.25">
      <c r="A1934" s="575">
        <v>69999</v>
      </c>
      <c r="B1934" s="576" t="s">
        <v>355</v>
      </c>
      <c r="C1934" s="564"/>
      <c r="D1934" s="564"/>
      <c r="E1934" s="564"/>
      <c r="F1934" s="564"/>
      <c r="G1934" s="581"/>
      <c r="H1934" s="581"/>
      <c r="I1934" s="581"/>
      <c r="J1934" s="567"/>
      <c r="K1934" s="568"/>
    </row>
    <row r="1935" spans="1:11" x14ac:dyDescent="0.25">
      <c r="A1935" s="590"/>
      <c r="B1935" s="583" t="s">
        <v>242</v>
      </c>
      <c r="C1935" s="585"/>
      <c r="D1935" s="586"/>
      <c r="E1935" s="583"/>
      <c r="F1935" s="585"/>
      <c r="G1935" s="586"/>
      <c r="H1935" s="586"/>
      <c r="I1935" s="586"/>
      <c r="J1935" s="567"/>
      <c r="K1935" s="568"/>
    </row>
    <row r="1936" spans="1:11" x14ac:dyDescent="0.25">
      <c r="A1936" s="596"/>
      <c r="B1936" s="583"/>
      <c r="C1936" s="564"/>
      <c r="D1936" s="576"/>
      <c r="E1936" s="583"/>
      <c r="F1936" s="564"/>
      <c r="G1936" s="581"/>
      <c r="H1936" s="581"/>
      <c r="I1936" s="581"/>
      <c r="J1936" s="567"/>
      <c r="K1936" s="568"/>
    </row>
    <row r="1937" spans="1:11" x14ac:dyDescent="0.25">
      <c r="A1937" s="560"/>
      <c r="B1937" s="561"/>
      <c r="C1937" s="564"/>
      <c r="D1937" s="576"/>
      <c r="E1937" s="561"/>
      <c r="F1937" s="564"/>
      <c r="G1937" s="581"/>
      <c r="H1937" s="581"/>
      <c r="I1937" s="581"/>
      <c r="J1937" s="567"/>
      <c r="K1937" s="568"/>
    </row>
    <row r="1938" spans="1:11" x14ac:dyDescent="0.25">
      <c r="A1938" s="603" t="s">
        <v>1104</v>
      </c>
      <c r="B1938" s="604" t="s">
        <v>805</v>
      </c>
      <c r="C1938" s="573">
        <v>2017</v>
      </c>
      <c r="D1938" s="572" t="s">
        <v>1236</v>
      </c>
      <c r="E1938" s="572">
        <v>2018</v>
      </c>
      <c r="F1938" s="913" t="s">
        <v>1236</v>
      </c>
      <c r="G1938" s="913" t="s">
        <v>4</v>
      </c>
      <c r="H1938" s="913">
        <v>2019</v>
      </c>
      <c r="I1938" s="913" t="s">
        <v>5</v>
      </c>
      <c r="J1938" s="567"/>
      <c r="K1938" s="568"/>
    </row>
    <row r="1939" spans="1:11" x14ac:dyDescent="0.25">
      <c r="A1939" s="788" t="s">
        <v>806</v>
      </c>
      <c r="B1939" s="607"/>
      <c r="C1939" s="573" t="s">
        <v>6</v>
      </c>
      <c r="D1939" s="574">
        <v>43069</v>
      </c>
      <c r="E1939" s="572" t="s">
        <v>6</v>
      </c>
      <c r="F1939" s="914">
        <v>43131</v>
      </c>
      <c r="G1939" s="914" t="s">
        <v>1131</v>
      </c>
      <c r="H1939" s="914" t="s">
        <v>6</v>
      </c>
      <c r="I1939" s="914" t="s">
        <v>7</v>
      </c>
      <c r="J1939" s="567"/>
      <c r="K1939" s="568"/>
    </row>
    <row r="1940" spans="1:11" x14ac:dyDescent="0.25">
      <c r="A1940" s="575">
        <v>40110</v>
      </c>
      <c r="B1940" s="576" t="s">
        <v>97</v>
      </c>
      <c r="C1940" s="564"/>
      <c r="D1940" s="564"/>
      <c r="E1940" s="564"/>
      <c r="F1940" s="564"/>
      <c r="G1940" s="581"/>
      <c r="H1940" s="581"/>
      <c r="I1940" s="581"/>
      <c r="J1940" s="567"/>
      <c r="K1940" s="568"/>
    </row>
    <row r="1941" spans="1:11" x14ac:dyDescent="0.25">
      <c r="A1941" s="575">
        <v>41410</v>
      </c>
      <c r="B1941" s="576" t="s">
        <v>478</v>
      </c>
      <c r="C1941" s="564"/>
      <c r="D1941" s="564"/>
      <c r="E1941" s="564"/>
      <c r="F1941" s="564"/>
      <c r="G1941" s="581"/>
      <c r="H1941" s="581"/>
      <c r="I1941" s="581"/>
      <c r="J1941" s="567"/>
      <c r="K1941" s="568"/>
    </row>
    <row r="1942" spans="1:11" x14ac:dyDescent="0.25">
      <c r="A1942" s="575">
        <v>41430</v>
      </c>
      <c r="B1942" s="576" t="s">
        <v>98</v>
      </c>
      <c r="C1942" s="564"/>
      <c r="D1942" s="564"/>
      <c r="E1942" s="564"/>
      <c r="F1942" s="564"/>
      <c r="G1942" s="581"/>
      <c r="H1942" s="581"/>
      <c r="I1942" s="581"/>
      <c r="J1942" s="567"/>
      <c r="K1942" s="568"/>
    </row>
    <row r="1943" spans="1:11" s="569" customFormat="1" x14ac:dyDescent="0.25">
      <c r="A1943" s="575">
        <v>41440</v>
      </c>
      <c r="B1943" s="576" t="s">
        <v>100</v>
      </c>
      <c r="C1943" s="564"/>
      <c r="D1943" s="564"/>
      <c r="E1943" s="564"/>
      <c r="F1943" s="564"/>
      <c r="G1943" s="581"/>
      <c r="H1943" s="581"/>
      <c r="I1943" s="581"/>
      <c r="J1943" s="567"/>
      <c r="K1943" s="568"/>
    </row>
    <row r="1944" spans="1:11" s="569" customFormat="1" x14ac:dyDescent="0.25">
      <c r="A1944" s="575">
        <v>41450</v>
      </c>
      <c r="B1944" s="576" t="s">
        <v>101</v>
      </c>
      <c r="C1944" s="564"/>
      <c r="D1944" s="564"/>
      <c r="E1944" s="564"/>
      <c r="F1944" s="564"/>
      <c r="G1944" s="581"/>
      <c r="H1944" s="581"/>
      <c r="I1944" s="581"/>
      <c r="J1944" s="567"/>
      <c r="K1944" s="568"/>
    </row>
    <row r="1945" spans="1:11" x14ac:dyDescent="0.25">
      <c r="A1945" s="575">
        <v>41470</v>
      </c>
      <c r="B1945" s="576" t="s">
        <v>102</v>
      </c>
      <c r="C1945" s="564"/>
      <c r="D1945" s="564"/>
      <c r="E1945" s="564"/>
      <c r="F1945" s="564"/>
      <c r="G1945" s="581"/>
      <c r="H1945" s="581"/>
      <c r="I1945" s="581"/>
      <c r="J1945" s="567"/>
      <c r="K1945" s="568"/>
    </row>
    <row r="1946" spans="1:11" x14ac:dyDescent="0.25">
      <c r="A1946" s="596"/>
      <c r="B1946" s="583" t="s">
        <v>242</v>
      </c>
      <c r="C1946" s="588"/>
      <c r="D1946" s="587"/>
      <c r="E1946" s="583"/>
      <c r="F1946" s="588"/>
      <c r="G1946" s="587"/>
      <c r="H1946" s="587"/>
      <c r="I1946" s="587"/>
      <c r="J1946" s="567"/>
      <c r="K1946" s="568"/>
    </row>
    <row r="1947" spans="1:11" x14ac:dyDescent="0.25">
      <c r="A1947" s="596"/>
      <c r="B1947" s="576"/>
      <c r="C1947" s="564"/>
      <c r="D1947" s="576"/>
      <c r="E1947" s="576"/>
      <c r="F1947" s="564"/>
      <c r="G1947" s="581"/>
      <c r="H1947" s="581"/>
      <c r="I1947" s="581"/>
      <c r="J1947" s="567"/>
      <c r="K1947" s="568"/>
    </row>
    <row r="1948" spans="1:11" x14ac:dyDescent="0.25">
      <c r="A1948" s="560"/>
      <c r="B1948" s="561"/>
      <c r="C1948" s="564"/>
      <c r="D1948" s="576"/>
      <c r="E1948" s="561"/>
      <c r="F1948" s="564"/>
      <c r="G1948" s="581"/>
      <c r="H1948" s="581"/>
      <c r="I1948" s="581"/>
      <c r="J1948" s="567"/>
      <c r="K1948" s="568"/>
    </row>
    <row r="1949" spans="1:11" x14ac:dyDescent="0.25">
      <c r="A1949" s="603" t="s">
        <v>1105</v>
      </c>
      <c r="B1949" s="604" t="s">
        <v>807</v>
      </c>
      <c r="C1949" s="573">
        <v>2017</v>
      </c>
      <c r="D1949" s="572" t="s">
        <v>1236</v>
      </c>
      <c r="E1949" s="572">
        <v>2018</v>
      </c>
      <c r="F1949" s="913" t="s">
        <v>1236</v>
      </c>
      <c r="G1949" s="913" t="s">
        <v>4</v>
      </c>
      <c r="H1949" s="913">
        <v>2019</v>
      </c>
      <c r="I1949" s="913" t="s">
        <v>5</v>
      </c>
      <c r="J1949" s="567"/>
      <c r="K1949" s="568"/>
    </row>
    <row r="1950" spans="1:11" x14ac:dyDescent="0.25">
      <c r="A1950" s="596"/>
      <c r="B1950" s="575" t="s">
        <v>93</v>
      </c>
      <c r="C1950" s="573" t="s">
        <v>6</v>
      </c>
      <c r="D1950" s="574">
        <v>43069</v>
      </c>
      <c r="E1950" s="572" t="s">
        <v>6</v>
      </c>
      <c r="F1950" s="914">
        <v>43131</v>
      </c>
      <c r="G1950" s="914" t="s">
        <v>1131</v>
      </c>
      <c r="H1950" s="914" t="s">
        <v>6</v>
      </c>
      <c r="I1950" s="914" t="s">
        <v>7</v>
      </c>
      <c r="J1950" s="567"/>
      <c r="K1950" s="568"/>
    </row>
    <row r="1951" spans="1:11" x14ac:dyDescent="0.25">
      <c r="A1951" s="590">
        <v>60000</v>
      </c>
      <c r="B1951" s="575" t="s">
        <v>808</v>
      </c>
      <c r="C1951" s="562"/>
      <c r="D1951" s="581">
        <v>110.5</v>
      </c>
      <c r="E1951" s="901">
        <v>0</v>
      </c>
      <c r="F1951" s="562"/>
      <c r="G1951" s="562">
        <v>0</v>
      </c>
      <c r="H1951" s="562"/>
      <c r="I1951" s="562"/>
      <c r="J1951" s="567"/>
      <c r="K1951" s="568"/>
    </row>
    <row r="1952" spans="1:11" x14ac:dyDescent="0.25">
      <c r="A1952" s="575">
        <v>62500</v>
      </c>
      <c r="B1952" s="576" t="s">
        <v>109</v>
      </c>
      <c r="C1952" s="581"/>
      <c r="D1952" s="581">
        <v>0</v>
      </c>
      <c r="E1952" s="901">
        <v>0</v>
      </c>
      <c r="F1952" s="562"/>
      <c r="G1952" s="562">
        <v>0</v>
      </c>
      <c r="H1952" s="562"/>
      <c r="I1952" s="562"/>
      <c r="J1952" s="567"/>
      <c r="K1952" s="568"/>
    </row>
    <row r="1953" spans="1:50" x14ac:dyDescent="0.25">
      <c r="A1953" s="575">
        <v>62510</v>
      </c>
      <c r="B1953" s="576" t="s">
        <v>110</v>
      </c>
      <c r="C1953" s="581">
        <v>500</v>
      </c>
      <c r="D1953" s="581">
        <v>657.11</v>
      </c>
      <c r="E1953" s="901">
        <v>825</v>
      </c>
      <c r="F1953" s="562"/>
      <c r="G1953" s="562">
        <v>825</v>
      </c>
      <c r="H1953" s="562"/>
      <c r="I1953" s="562"/>
      <c r="J1953" s="567"/>
      <c r="K1953" s="568"/>
    </row>
    <row r="1954" spans="1:50" x14ac:dyDescent="0.25">
      <c r="A1954" s="575">
        <v>62530</v>
      </c>
      <c r="B1954" s="576" t="s">
        <v>1195</v>
      </c>
      <c r="C1954" s="581"/>
      <c r="D1954" s="581">
        <v>0</v>
      </c>
      <c r="E1954" s="901">
        <v>0</v>
      </c>
      <c r="F1954" s="562"/>
      <c r="G1954" s="562">
        <v>0</v>
      </c>
      <c r="H1954" s="562"/>
      <c r="I1954" s="562"/>
      <c r="J1954" s="567"/>
      <c r="K1954" s="568"/>
    </row>
    <row r="1955" spans="1:50" x14ac:dyDescent="0.25">
      <c r="A1955" s="575">
        <v>62550</v>
      </c>
      <c r="B1955" s="576" t="s">
        <v>809</v>
      </c>
      <c r="C1955" s="581"/>
      <c r="D1955" s="581">
        <v>0</v>
      </c>
      <c r="E1955" s="901">
        <v>0</v>
      </c>
      <c r="F1955" s="562"/>
      <c r="G1955" s="562">
        <v>0</v>
      </c>
      <c r="H1955" s="562"/>
      <c r="I1955" s="562"/>
      <c r="J1955" s="567"/>
      <c r="K1955" s="568"/>
    </row>
    <row r="1956" spans="1:50" x14ac:dyDescent="0.25">
      <c r="A1956" s="575">
        <v>63240</v>
      </c>
      <c r="B1956" s="576" t="s">
        <v>773</v>
      </c>
      <c r="C1956" s="581"/>
      <c r="D1956" s="581">
        <v>0</v>
      </c>
      <c r="E1956" s="901">
        <v>0</v>
      </c>
      <c r="F1956" s="562"/>
      <c r="G1956" s="562">
        <v>0</v>
      </c>
      <c r="H1956" s="562"/>
      <c r="I1956" s="562"/>
      <c r="J1956" s="567"/>
      <c r="K1956" s="568"/>
    </row>
    <row r="1957" spans="1:50" x14ac:dyDescent="0.25">
      <c r="A1957" s="575">
        <v>63274</v>
      </c>
      <c r="B1957" s="576" t="s">
        <v>810</v>
      </c>
      <c r="C1957" s="581"/>
      <c r="D1957" s="581">
        <v>0</v>
      </c>
      <c r="E1957" s="901">
        <v>0</v>
      </c>
      <c r="F1957" s="562"/>
      <c r="G1957" s="562">
        <v>0</v>
      </c>
      <c r="H1957" s="562"/>
      <c r="I1957" s="562"/>
      <c r="J1957" s="567"/>
      <c r="K1957" s="568"/>
    </row>
    <row r="1958" spans="1:50" x14ac:dyDescent="0.25">
      <c r="A1958" s="575">
        <v>69010</v>
      </c>
      <c r="B1958" s="576" t="s">
        <v>156</v>
      </c>
      <c r="C1958" s="581"/>
      <c r="D1958" s="581">
        <v>0</v>
      </c>
      <c r="E1958" s="901">
        <v>0</v>
      </c>
      <c r="F1958" s="562"/>
      <c r="G1958" s="562">
        <v>0</v>
      </c>
      <c r="H1958" s="562"/>
      <c r="I1958" s="562"/>
      <c r="J1958" s="567"/>
      <c r="K1958" s="568"/>
    </row>
    <row r="1959" spans="1:50" x14ac:dyDescent="0.25">
      <c r="A1959" s="575">
        <v>69999</v>
      </c>
      <c r="B1959" s="576" t="s">
        <v>115</v>
      </c>
      <c r="C1959" s="581"/>
      <c r="D1959" s="581">
        <v>0</v>
      </c>
      <c r="E1959" s="901">
        <v>0</v>
      </c>
      <c r="F1959" s="562"/>
      <c r="G1959" s="562">
        <v>0</v>
      </c>
      <c r="H1959" s="562"/>
      <c r="I1959" s="562"/>
      <c r="J1959" s="699"/>
      <c r="K1959" s="700"/>
    </row>
    <row r="1960" spans="1:50" s="569" customFormat="1" x14ac:dyDescent="0.25">
      <c r="A1960" s="596"/>
      <c r="B1960" s="583" t="s">
        <v>242</v>
      </c>
      <c r="C1960" s="587">
        <f>SUM(C1951:C1959)</f>
        <v>500</v>
      </c>
      <c r="D1960" s="587">
        <f t="shared" ref="D1960" si="286">SUM(D1951:D1959)</f>
        <v>767.61</v>
      </c>
      <c r="E1960" s="969">
        <f>SUM(E1951:E1959)</f>
        <v>825</v>
      </c>
      <c r="F1960" s="587">
        <f t="shared" ref="F1960" si="287">SUM(F1951:F1959)</f>
        <v>0</v>
      </c>
      <c r="G1960" s="587">
        <f>SUM(G1951:G1959)</f>
        <v>825</v>
      </c>
      <c r="H1960" s="587">
        <f>SUM(H1952:H1959)</f>
        <v>0</v>
      </c>
      <c r="I1960" s="587"/>
      <c r="J1960" s="567"/>
      <c r="K1960" s="568"/>
    </row>
    <row r="1961" spans="1:50" s="569" customFormat="1" x14ac:dyDescent="0.25">
      <c r="A1961" s="596"/>
      <c r="B1961" s="583"/>
      <c r="C1961" s="564"/>
      <c r="D1961" s="576"/>
      <c r="E1961" s="938"/>
      <c r="F1961" s="564"/>
      <c r="G1961" s="581"/>
      <c r="H1961" s="581"/>
      <c r="I1961" s="581"/>
      <c r="J1961" s="567"/>
      <c r="K1961" s="568"/>
    </row>
    <row r="1962" spans="1:50" s="908" customFormat="1" x14ac:dyDescent="0.25">
      <c r="A1962" s="560"/>
      <c r="B1962" s="561"/>
      <c r="C1962" s="564"/>
      <c r="D1962" s="576"/>
      <c r="E1962" s="561"/>
      <c r="F1962" s="564"/>
      <c r="G1962" s="581"/>
      <c r="H1962" s="581"/>
      <c r="I1962" s="581"/>
      <c r="J1962" s="567"/>
      <c r="K1962" s="568"/>
      <c r="N1962" s="569"/>
      <c r="O1962" s="569"/>
      <c r="P1962" s="569"/>
      <c r="Q1962" s="569"/>
      <c r="R1962" s="569"/>
      <c r="S1962" s="569"/>
      <c r="T1962" s="569"/>
      <c r="U1962" s="569"/>
      <c r="V1962" s="569"/>
      <c r="W1962" s="569"/>
      <c r="X1962" s="569"/>
      <c r="Y1962" s="569"/>
      <c r="Z1962" s="569"/>
      <c r="AA1962" s="569"/>
      <c r="AB1962" s="569"/>
      <c r="AC1962" s="569"/>
      <c r="AD1962" s="569"/>
      <c r="AE1962" s="569"/>
      <c r="AF1962" s="569"/>
      <c r="AG1962" s="569"/>
      <c r="AH1962" s="569"/>
      <c r="AI1962" s="569"/>
      <c r="AJ1962" s="569"/>
      <c r="AK1962" s="569"/>
      <c r="AL1962" s="569"/>
      <c r="AM1962" s="569"/>
      <c r="AN1962" s="569"/>
      <c r="AO1962" s="569"/>
      <c r="AP1962" s="569"/>
      <c r="AQ1962" s="569"/>
      <c r="AR1962" s="569"/>
      <c r="AS1962" s="569"/>
      <c r="AT1962" s="569"/>
      <c r="AU1962" s="569"/>
      <c r="AV1962" s="569"/>
      <c r="AW1962" s="569"/>
      <c r="AX1962" s="569"/>
    </row>
    <row r="1963" spans="1:50" x14ac:dyDescent="0.25">
      <c r="A1963" s="603" t="s">
        <v>1106</v>
      </c>
      <c r="B1963" s="604" t="s">
        <v>811</v>
      </c>
      <c r="C1963" s="573">
        <v>2017</v>
      </c>
      <c r="D1963" s="572" t="s">
        <v>1236</v>
      </c>
      <c r="E1963" s="572">
        <v>2018</v>
      </c>
      <c r="F1963" s="913" t="s">
        <v>1236</v>
      </c>
      <c r="G1963" s="913" t="s">
        <v>4</v>
      </c>
      <c r="H1963" s="913">
        <v>2019</v>
      </c>
      <c r="I1963" s="913" t="s">
        <v>5</v>
      </c>
      <c r="J1963" s="567"/>
      <c r="K1963" s="568"/>
    </row>
    <row r="1964" spans="1:50" x14ac:dyDescent="0.25">
      <c r="A1964" s="596"/>
      <c r="B1964" s="575" t="s">
        <v>93</v>
      </c>
      <c r="C1964" s="573" t="s">
        <v>6</v>
      </c>
      <c r="D1964" s="574">
        <v>43069</v>
      </c>
      <c r="E1964" s="572" t="s">
        <v>6</v>
      </c>
      <c r="F1964" s="914">
        <v>43131</v>
      </c>
      <c r="G1964" s="914"/>
      <c r="H1964" s="914" t="s">
        <v>6</v>
      </c>
      <c r="I1964" s="914" t="s">
        <v>7</v>
      </c>
      <c r="J1964" s="567"/>
      <c r="K1964" s="568"/>
    </row>
    <row r="1965" spans="1:50" x14ac:dyDescent="0.25">
      <c r="A1965" s="575">
        <v>40110</v>
      </c>
      <c r="B1965" s="576" t="s">
        <v>283</v>
      </c>
      <c r="C1965" s="581">
        <v>3984</v>
      </c>
      <c r="D1965" s="581">
        <f>879.5+49.5</f>
        <v>929</v>
      </c>
      <c r="E1965" s="581"/>
      <c r="F1965" s="581"/>
      <c r="G1965" s="581"/>
      <c r="H1965" s="581"/>
      <c r="I1965" s="581"/>
      <c r="J1965" s="567"/>
      <c r="K1965" s="568"/>
    </row>
    <row r="1966" spans="1:50" x14ac:dyDescent="0.25">
      <c r="A1966" s="575">
        <v>41410</v>
      </c>
      <c r="B1966" s="576" t="s">
        <v>478</v>
      </c>
      <c r="C1966" s="581"/>
      <c r="D1966" s="581">
        <v>2.46</v>
      </c>
      <c r="E1966" s="581"/>
      <c r="F1966" s="581"/>
      <c r="G1966" s="581"/>
      <c r="H1966" s="581"/>
      <c r="I1966" s="581"/>
      <c r="J1966" s="567"/>
      <c r="K1966" s="568"/>
    </row>
    <row r="1967" spans="1:50" x14ac:dyDescent="0.25">
      <c r="A1967" s="575">
        <v>41430</v>
      </c>
      <c r="B1967" s="576" t="s">
        <v>98</v>
      </c>
      <c r="C1967" s="581"/>
      <c r="D1967" s="581">
        <v>194.41</v>
      </c>
      <c r="E1967" s="581"/>
      <c r="F1967" s="581"/>
      <c r="G1967" s="581"/>
      <c r="H1967" s="581"/>
      <c r="I1967" s="581"/>
      <c r="J1967" s="567"/>
      <c r="K1967" s="568"/>
    </row>
    <row r="1968" spans="1:50" x14ac:dyDescent="0.25">
      <c r="A1968" s="575">
        <v>41440</v>
      </c>
      <c r="B1968" s="576" t="s">
        <v>100</v>
      </c>
      <c r="C1968" s="581">
        <v>247</v>
      </c>
      <c r="D1968" s="581">
        <v>50.98</v>
      </c>
      <c r="E1968" s="581"/>
      <c r="F1968" s="581"/>
      <c r="G1968" s="581"/>
      <c r="H1968" s="581"/>
      <c r="I1968" s="581"/>
      <c r="J1968" s="567"/>
      <c r="K1968" s="568"/>
    </row>
    <row r="1969" spans="1:11" x14ac:dyDescent="0.25">
      <c r="A1969" s="575">
        <v>41450</v>
      </c>
      <c r="B1969" s="576" t="s">
        <v>101</v>
      </c>
      <c r="C1969" s="581">
        <v>58</v>
      </c>
      <c r="D1969" s="581">
        <v>11.92</v>
      </c>
      <c r="E1969" s="581"/>
      <c r="F1969" s="581"/>
      <c r="G1969" s="581"/>
      <c r="H1969" s="581"/>
      <c r="I1969" s="581"/>
      <c r="J1969" s="567"/>
      <c r="K1969" s="568"/>
    </row>
    <row r="1970" spans="1:11" x14ac:dyDescent="0.25">
      <c r="A1970" s="575">
        <v>41470</v>
      </c>
      <c r="B1970" s="576" t="s">
        <v>102</v>
      </c>
      <c r="C1970" s="581"/>
      <c r="D1970" s="581">
        <v>1</v>
      </c>
      <c r="E1970" s="581"/>
      <c r="F1970" s="581"/>
      <c r="G1970" s="581"/>
      <c r="H1970" s="581"/>
      <c r="I1970" s="581"/>
      <c r="J1970" s="567"/>
      <c r="K1970" s="568"/>
    </row>
    <row r="1971" spans="1:11" x14ac:dyDescent="0.25">
      <c r="A1971" s="575">
        <v>54110</v>
      </c>
      <c r="B1971" s="576" t="s">
        <v>103</v>
      </c>
      <c r="C1971" s="581">
        <v>1000</v>
      </c>
      <c r="D1971" s="581">
        <v>0</v>
      </c>
      <c r="E1971" s="581"/>
      <c r="F1971" s="581"/>
      <c r="G1971" s="581"/>
      <c r="H1971" s="581"/>
      <c r="I1971" s="581"/>
      <c r="J1971" s="567"/>
      <c r="K1971" s="568"/>
    </row>
    <row r="1972" spans="1:11" x14ac:dyDescent="0.25">
      <c r="A1972" s="575">
        <v>54212</v>
      </c>
      <c r="B1972" s="576" t="s">
        <v>289</v>
      </c>
      <c r="C1972" s="581">
        <v>500</v>
      </c>
      <c r="D1972" s="581">
        <v>0</v>
      </c>
      <c r="E1972" s="581"/>
      <c r="F1972" s="581"/>
      <c r="G1972" s="581"/>
      <c r="H1972" s="581"/>
      <c r="I1972" s="581"/>
      <c r="J1972" s="567"/>
      <c r="K1972" s="568"/>
    </row>
    <row r="1973" spans="1:11" x14ac:dyDescent="0.25">
      <c r="A1973" s="575">
        <v>62500</v>
      </c>
      <c r="B1973" s="576" t="s">
        <v>109</v>
      </c>
      <c r="C1973" s="581">
        <v>275</v>
      </c>
      <c r="D1973" s="581">
        <v>0</v>
      </c>
      <c r="E1973" s="581"/>
      <c r="F1973" s="581"/>
      <c r="G1973" s="581"/>
      <c r="H1973" s="581"/>
      <c r="I1973" s="581"/>
      <c r="J1973" s="567"/>
      <c r="K1973" s="568"/>
    </row>
    <row r="1974" spans="1:11" x14ac:dyDescent="0.25">
      <c r="A1974" s="575">
        <v>62510</v>
      </c>
      <c r="B1974" s="576" t="s">
        <v>110</v>
      </c>
      <c r="C1974" s="581">
        <v>102</v>
      </c>
      <c r="D1974" s="581">
        <v>0</v>
      </c>
      <c r="E1974" s="581"/>
      <c r="F1974" s="581"/>
      <c r="G1974" s="581"/>
      <c r="H1974" s="581"/>
      <c r="I1974" s="581"/>
      <c r="J1974" s="567"/>
      <c r="K1974" s="568"/>
    </row>
    <row r="1975" spans="1:11" x14ac:dyDescent="0.25">
      <c r="A1975" s="575">
        <v>62530</v>
      </c>
      <c r="B1975" s="576" t="s">
        <v>171</v>
      </c>
      <c r="C1975" s="581">
        <v>300</v>
      </c>
      <c r="D1975" s="581">
        <v>0</v>
      </c>
      <c r="E1975" s="581"/>
      <c r="F1975" s="581"/>
      <c r="G1975" s="581"/>
      <c r="H1975" s="581"/>
      <c r="I1975" s="581"/>
      <c r="J1975" s="567"/>
      <c r="K1975" s="568"/>
    </row>
    <row r="1976" spans="1:11" x14ac:dyDescent="0.25">
      <c r="A1976" s="575">
        <v>63000</v>
      </c>
      <c r="B1976" s="576" t="s">
        <v>812</v>
      </c>
      <c r="C1976" s="581"/>
      <c r="D1976" s="581">
        <v>250</v>
      </c>
      <c r="E1976" s="581"/>
      <c r="F1976" s="581"/>
      <c r="G1976" s="581"/>
      <c r="H1976" s="581"/>
      <c r="I1976" s="581"/>
      <c r="J1976" s="567"/>
      <c r="K1976" s="568"/>
    </row>
    <row r="1977" spans="1:11" x14ac:dyDescent="0.25">
      <c r="A1977" s="596"/>
      <c r="B1977" s="583" t="s">
        <v>242</v>
      </c>
      <c r="C1977" s="587">
        <f>SUM(C1965:C1976)</f>
        <v>6466</v>
      </c>
      <c r="D1977" s="587">
        <f t="shared" ref="D1977" si="288">SUM(D1965:D1976)</f>
        <v>1439.7700000000002</v>
      </c>
      <c r="E1977" s="587">
        <f>SUM(E1965:E1976)</f>
        <v>0</v>
      </c>
      <c r="F1977" s="587">
        <f t="shared" ref="F1977:H1977" si="289">SUM(F1965:F1976)</f>
        <v>0</v>
      </c>
      <c r="G1977" s="587">
        <f>SUM(G1965:G1976)</f>
        <v>0</v>
      </c>
      <c r="H1977" s="587">
        <f t="shared" si="289"/>
        <v>0</v>
      </c>
      <c r="I1977" s="587"/>
      <c r="J1977" s="567"/>
      <c r="K1977" s="568"/>
    </row>
    <row r="1978" spans="1:11" x14ac:dyDescent="0.25">
      <c r="A1978" s="596"/>
      <c r="B1978" s="583"/>
      <c r="C1978" s="564"/>
      <c r="D1978" s="576"/>
      <c r="E1978" s="583"/>
      <c r="F1978" s="564"/>
      <c r="G1978" s="581"/>
      <c r="H1978" s="581"/>
      <c r="I1978" s="581"/>
      <c r="J1978" s="567"/>
      <c r="K1978" s="568"/>
    </row>
    <row r="1979" spans="1:11" x14ac:dyDescent="0.25">
      <c r="A1979" s="560"/>
      <c r="B1979" s="561"/>
      <c r="C1979" s="564"/>
      <c r="D1979" s="576"/>
      <c r="E1979" s="561"/>
      <c r="F1979" s="564"/>
      <c r="G1979" s="581"/>
      <c r="H1979" s="581"/>
      <c r="I1979" s="581"/>
      <c r="J1979" s="567"/>
      <c r="K1979" s="568"/>
    </row>
    <row r="1980" spans="1:11" x14ac:dyDescent="0.25">
      <c r="A1980" s="915" t="s">
        <v>1107</v>
      </c>
      <c r="B1980" s="918" t="s">
        <v>813</v>
      </c>
      <c r="C1980" s="912">
        <v>2017</v>
      </c>
      <c r="D1980" s="913" t="s">
        <v>1236</v>
      </c>
      <c r="E1980" s="913">
        <v>2018</v>
      </c>
      <c r="F1980" s="913" t="s">
        <v>1236</v>
      </c>
      <c r="G1980" s="913" t="s">
        <v>4</v>
      </c>
      <c r="H1980" s="913">
        <v>2019</v>
      </c>
      <c r="I1980" s="913" t="s">
        <v>5</v>
      </c>
      <c r="J1980" s="567"/>
      <c r="K1980" s="568"/>
    </row>
    <row r="1981" spans="1:11" s="569" customFormat="1" x14ac:dyDescent="0.25">
      <c r="A1981" s="590"/>
      <c r="B1981" s="575" t="s">
        <v>93</v>
      </c>
      <c r="C1981" s="912" t="s">
        <v>6</v>
      </c>
      <c r="D1981" s="914">
        <v>43069</v>
      </c>
      <c r="E1981" s="913" t="s">
        <v>6</v>
      </c>
      <c r="F1981" s="914">
        <v>43131</v>
      </c>
      <c r="G1981" s="914" t="s">
        <v>1131</v>
      </c>
      <c r="H1981" s="914" t="s">
        <v>6</v>
      </c>
      <c r="I1981" s="914" t="s">
        <v>7</v>
      </c>
      <c r="J1981" s="567"/>
      <c r="K1981" s="568"/>
    </row>
    <row r="1982" spans="1:11" s="569" customFormat="1" x14ac:dyDescent="0.25">
      <c r="A1982" s="596"/>
      <c r="B1982" s="575"/>
      <c r="C1982" s="578"/>
      <c r="D1982" s="577"/>
      <c r="E1982" s="575"/>
      <c r="F1982" s="564"/>
      <c r="G1982" s="581"/>
      <c r="H1982" s="581"/>
      <c r="I1982" s="581"/>
      <c r="J1982" s="567"/>
      <c r="K1982" s="568"/>
    </row>
    <row r="1983" spans="1:11" x14ac:dyDescent="0.25">
      <c r="A1983" s="575">
        <v>40110</v>
      </c>
      <c r="B1983" s="576" t="s">
        <v>283</v>
      </c>
      <c r="C1983" s="581">
        <v>23135</v>
      </c>
      <c r="D1983" s="581">
        <f>14435.85+950.3+1908.8+284.18</f>
        <v>17579.13</v>
      </c>
      <c r="E1983" s="901">
        <v>19024</v>
      </c>
      <c r="F1983" s="581"/>
      <c r="G1983" s="581">
        <v>19024</v>
      </c>
      <c r="H1983" s="581"/>
      <c r="I1983" s="581"/>
      <c r="J1983" s="567"/>
      <c r="K1983" s="568"/>
    </row>
    <row r="1984" spans="1:11" x14ac:dyDescent="0.25">
      <c r="A1984" s="575">
        <v>41410</v>
      </c>
      <c r="B1984" s="576" t="s">
        <v>478</v>
      </c>
      <c r="C1984" s="581"/>
      <c r="D1984" s="581">
        <v>49.94</v>
      </c>
      <c r="E1984" s="901">
        <v>57</v>
      </c>
      <c r="F1984" s="581"/>
      <c r="G1984" s="581">
        <v>57</v>
      </c>
      <c r="H1984" s="581"/>
      <c r="I1984" s="581"/>
      <c r="J1984" s="567"/>
      <c r="K1984" s="568"/>
    </row>
    <row r="1985" spans="1:11" x14ac:dyDescent="0.25">
      <c r="A1985" s="575">
        <v>41430</v>
      </c>
      <c r="B1985" s="576" t="s">
        <v>98</v>
      </c>
      <c r="C1985" s="581"/>
      <c r="D1985" s="581">
        <v>1635.56</v>
      </c>
      <c r="E1985" s="901">
        <v>2805</v>
      </c>
      <c r="F1985" s="581"/>
      <c r="G1985" s="581">
        <v>2805</v>
      </c>
      <c r="H1985" s="581"/>
      <c r="I1985" s="581"/>
      <c r="J1985" s="567"/>
      <c r="K1985" s="568"/>
    </row>
    <row r="1986" spans="1:11" x14ac:dyDescent="0.25">
      <c r="A1986" s="575">
        <v>41435</v>
      </c>
      <c r="B1986" s="576" t="s">
        <v>1252</v>
      </c>
      <c r="C1986" s="581"/>
      <c r="D1986" s="581"/>
      <c r="E1986" s="901">
        <v>1185</v>
      </c>
      <c r="F1986" s="581"/>
      <c r="G1986" s="581">
        <v>1185</v>
      </c>
      <c r="H1986" s="581"/>
      <c r="I1986" s="581"/>
      <c r="J1986" s="567"/>
      <c r="K1986" s="568"/>
    </row>
    <row r="1987" spans="1:11" x14ac:dyDescent="0.25">
      <c r="A1987" s="575">
        <v>41440</v>
      </c>
      <c r="B1987" s="576" t="s">
        <v>100</v>
      </c>
      <c r="C1987" s="581">
        <v>1434</v>
      </c>
      <c r="D1987" s="581">
        <v>1031.48</v>
      </c>
      <c r="E1987" s="901">
        <v>1178</v>
      </c>
      <c r="F1987" s="581"/>
      <c r="G1987" s="581">
        <v>1178</v>
      </c>
      <c r="H1987" s="581"/>
      <c r="I1987" s="581"/>
      <c r="J1987" s="567"/>
      <c r="K1987" s="568"/>
    </row>
    <row r="1988" spans="1:11" x14ac:dyDescent="0.25">
      <c r="A1988" s="575">
        <v>41450</v>
      </c>
      <c r="B1988" s="576" t="s">
        <v>101</v>
      </c>
      <c r="C1988" s="581">
        <v>335</v>
      </c>
      <c r="D1988" s="581">
        <v>241.2</v>
      </c>
      <c r="E1988" s="901">
        <v>275</v>
      </c>
      <c r="F1988" s="581"/>
      <c r="G1988" s="581">
        <v>275</v>
      </c>
      <c r="H1988" s="581"/>
      <c r="I1988" s="581"/>
      <c r="J1988" s="567"/>
      <c r="K1988" s="568"/>
    </row>
    <row r="1989" spans="1:11" x14ac:dyDescent="0.25">
      <c r="A1989" s="575">
        <v>41470</v>
      </c>
      <c r="B1989" s="576" t="s">
        <v>102</v>
      </c>
      <c r="C1989" s="581"/>
      <c r="D1989" s="581">
        <v>11.8</v>
      </c>
      <c r="E1989" s="901">
        <v>15</v>
      </c>
      <c r="F1989" s="581"/>
      <c r="G1989" s="581">
        <v>15</v>
      </c>
      <c r="H1989" s="581"/>
      <c r="I1989" s="581"/>
      <c r="J1989" s="567"/>
      <c r="K1989" s="568"/>
    </row>
    <row r="1990" spans="1:11" x14ac:dyDescent="0.25">
      <c r="A1990" s="575">
        <v>54110</v>
      </c>
      <c r="B1990" s="576" t="s">
        <v>103</v>
      </c>
      <c r="C1990" s="581">
        <v>821</v>
      </c>
      <c r="D1990" s="581">
        <v>1169.93</v>
      </c>
      <c r="E1990" s="901">
        <v>670</v>
      </c>
      <c r="F1990" s="581"/>
      <c r="G1990" s="581">
        <v>670</v>
      </c>
      <c r="H1990" s="581"/>
      <c r="I1990" s="581"/>
      <c r="J1990" s="567"/>
      <c r="K1990" s="568"/>
    </row>
    <row r="1991" spans="1:11" x14ac:dyDescent="0.25">
      <c r="A1991" s="575">
        <v>54114</v>
      </c>
      <c r="B1991" s="576" t="s">
        <v>814</v>
      </c>
      <c r="C1991" s="581"/>
      <c r="D1991" s="581">
        <v>0</v>
      </c>
      <c r="E1991" s="901">
        <v>0</v>
      </c>
      <c r="F1991" s="581"/>
      <c r="G1991" s="581">
        <v>0</v>
      </c>
      <c r="H1991" s="581"/>
      <c r="I1991" s="581"/>
      <c r="J1991" s="567"/>
      <c r="K1991" s="568"/>
    </row>
    <row r="1992" spans="1:11" x14ac:dyDescent="0.25">
      <c r="A1992" s="575">
        <v>54212</v>
      </c>
      <c r="B1992" s="576" t="s">
        <v>289</v>
      </c>
      <c r="C1992" s="581"/>
      <c r="D1992" s="581">
        <v>0</v>
      </c>
      <c r="E1992" s="901">
        <v>0</v>
      </c>
      <c r="F1992" s="581"/>
      <c r="G1992" s="581">
        <v>0</v>
      </c>
      <c r="H1992" s="581"/>
      <c r="I1992" s="581"/>
      <c r="J1992" s="567"/>
      <c r="K1992" s="568"/>
    </row>
    <row r="1993" spans="1:11" x14ac:dyDescent="0.25">
      <c r="A1993" s="575">
        <v>62500</v>
      </c>
      <c r="B1993" s="576" t="s">
        <v>109</v>
      </c>
      <c r="C1993" s="581">
        <v>563</v>
      </c>
      <c r="D1993" s="581">
        <v>1082.4000000000001</v>
      </c>
      <c r="E1993" s="901">
        <v>560</v>
      </c>
      <c r="F1993" s="581"/>
      <c r="G1993" s="581">
        <v>560</v>
      </c>
      <c r="H1993" s="581"/>
      <c r="I1993" s="581"/>
      <c r="J1993" s="567"/>
      <c r="K1993" s="568"/>
    </row>
    <row r="1994" spans="1:11" s="569" customFormat="1" x14ac:dyDescent="0.25">
      <c r="A1994" s="575">
        <v>62510</v>
      </c>
      <c r="B1994" s="576" t="s">
        <v>110</v>
      </c>
      <c r="C1994" s="581">
        <v>280</v>
      </c>
      <c r="D1994" s="581">
        <v>275.81</v>
      </c>
      <c r="E1994" s="901">
        <v>200</v>
      </c>
      <c r="F1994" s="581"/>
      <c r="G1994" s="581">
        <v>200</v>
      </c>
      <c r="H1994" s="581"/>
      <c r="I1994" s="581"/>
      <c r="J1994" s="567"/>
      <c r="K1994" s="568"/>
    </row>
    <row r="1995" spans="1:11" s="569" customFormat="1" x14ac:dyDescent="0.25">
      <c r="A1995" s="575">
        <v>62530</v>
      </c>
      <c r="B1995" s="576" t="s">
        <v>171</v>
      </c>
      <c r="C1995" s="581">
        <v>480</v>
      </c>
      <c r="D1995" s="581">
        <v>807.52</v>
      </c>
      <c r="E1995" s="901">
        <v>360</v>
      </c>
      <c r="F1995" s="581"/>
      <c r="G1995" s="581">
        <v>360</v>
      </c>
      <c r="H1995" s="581"/>
      <c r="I1995" s="581"/>
      <c r="J1995" s="567"/>
      <c r="K1995" s="568"/>
    </row>
    <row r="1996" spans="1:11" x14ac:dyDescent="0.25">
      <c r="A1996" s="575">
        <v>64911</v>
      </c>
      <c r="B1996" s="576" t="s">
        <v>815</v>
      </c>
      <c r="C1996" s="581"/>
      <c r="D1996" s="581">
        <v>0</v>
      </c>
      <c r="E1996" s="901">
        <v>0</v>
      </c>
      <c r="F1996" s="581"/>
      <c r="G1996" s="581">
        <v>0</v>
      </c>
      <c r="H1996" s="581"/>
      <c r="I1996" s="581"/>
      <c r="J1996" s="567"/>
      <c r="K1996" s="568"/>
    </row>
    <row r="1997" spans="1:11" x14ac:dyDescent="0.25">
      <c r="A1997" s="575">
        <v>65400</v>
      </c>
      <c r="B1997" s="576" t="s">
        <v>816</v>
      </c>
      <c r="C1997" s="581"/>
      <c r="D1997" s="581">
        <v>0</v>
      </c>
      <c r="E1997" s="901">
        <v>0</v>
      </c>
      <c r="F1997" s="581"/>
      <c r="G1997" s="581">
        <v>0</v>
      </c>
      <c r="H1997" s="581"/>
      <c r="I1997" s="581"/>
      <c r="J1997" s="567"/>
      <c r="K1997" s="568"/>
    </row>
    <row r="1998" spans="1:11" x14ac:dyDescent="0.25">
      <c r="A1998" s="575">
        <v>65500</v>
      </c>
      <c r="B1998" s="576" t="s">
        <v>684</v>
      </c>
      <c r="C1998" s="581">
        <v>3270</v>
      </c>
      <c r="D1998" s="581">
        <v>2195.63</v>
      </c>
      <c r="E1998" s="901">
        <v>2220</v>
      </c>
      <c r="F1998" s="581"/>
      <c r="G1998" s="581">
        <v>2220</v>
      </c>
      <c r="H1998" s="581"/>
      <c r="I1998" s="581"/>
      <c r="J1998" s="567"/>
      <c r="K1998" s="568"/>
    </row>
    <row r="1999" spans="1:11" x14ac:dyDescent="0.25">
      <c r="A1999" s="590"/>
      <c r="B1999" s="583" t="s">
        <v>242</v>
      </c>
      <c r="C1999" s="587">
        <f>SUM(C1983:C1998)</f>
        <v>30318</v>
      </c>
      <c r="D1999" s="587">
        <f t="shared" ref="D1999" si="290">SUM(D1983:D1998)</f>
        <v>26080.400000000005</v>
      </c>
      <c r="E1999" s="972">
        <f>SUM(E1983:E1998)</f>
        <v>28549</v>
      </c>
      <c r="F1999" s="587">
        <f t="shared" ref="F1999:H1999" si="291">SUM(F1983:F1998)</f>
        <v>0</v>
      </c>
      <c r="G1999" s="698">
        <f>SUM(G1983:G1998)</f>
        <v>28549</v>
      </c>
      <c r="H1999" s="587">
        <f t="shared" si="291"/>
        <v>0</v>
      </c>
      <c r="I1999" s="587"/>
      <c r="J1999" s="567"/>
      <c r="K1999" s="568"/>
    </row>
    <row r="2000" spans="1:11" x14ac:dyDescent="0.25">
      <c r="A2000" s="590"/>
      <c r="B2000" s="583"/>
      <c r="C2000" s="564"/>
      <c r="D2000" s="576"/>
      <c r="E2000" s="938"/>
      <c r="F2000" s="564"/>
      <c r="G2000" s="581"/>
      <c r="H2000" s="581"/>
      <c r="I2000" s="581"/>
      <c r="J2000" s="567"/>
      <c r="K2000" s="568"/>
    </row>
    <row r="2001" spans="1:11" x14ac:dyDescent="0.25">
      <c r="A2001" s="560"/>
      <c r="B2001" s="561"/>
      <c r="C2001" s="564"/>
      <c r="D2001" s="576"/>
      <c r="E2001" s="561"/>
      <c r="F2001" s="564"/>
      <c r="G2001" s="581"/>
      <c r="H2001" s="581"/>
      <c r="I2001" s="581"/>
      <c r="J2001" s="567"/>
      <c r="K2001" s="568"/>
    </row>
    <row r="2002" spans="1:11" x14ac:dyDescent="0.25">
      <c r="A2002" s="597" t="s">
        <v>1108</v>
      </c>
      <c r="B2002" s="602" t="s">
        <v>817</v>
      </c>
      <c r="C2002" s="573">
        <v>2017</v>
      </c>
      <c r="D2002" s="572" t="s">
        <v>1236</v>
      </c>
      <c r="E2002" s="572">
        <v>2018</v>
      </c>
      <c r="F2002" s="913" t="s">
        <v>1236</v>
      </c>
      <c r="G2002" s="913" t="s">
        <v>4</v>
      </c>
      <c r="H2002" s="913">
        <v>2019</v>
      </c>
      <c r="I2002" s="913" t="s">
        <v>5</v>
      </c>
      <c r="J2002" s="567"/>
      <c r="K2002" s="568"/>
    </row>
    <row r="2003" spans="1:11" x14ac:dyDescent="0.25">
      <c r="A2003" s="596"/>
      <c r="B2003" s="575" t="s">
        <v>93</v>
      </c>
      <c r="C2003" s="573" t="s">
        <v>6</v>
      </c>
      <c r="D2003" s="574">
        <v>43069</v>
      </c>
      <c r="E2003" s="572" t="s">
        <v>6</v>
      </c>
      <c r="F2003" s="914">
        <v>43131</v>
      </c>
      <c r="G2003" s="914" t="s">
        <v>1131</v>
      </c>
      <c r="H2003" s="914" t="s">
        <v>6</v>
      </c>
      <c r="I2003" s="914" t="s">
        <v>7</v>
      </c>
      <c r="J2003" s="567"/>
      <c r="K2003" s="568"/>
    </row>
    <row r="2004" spans="1:11" s="569" customFormat="1" x14ac:dyDescent="0.25">
      <c r="A2004" s="596"/>
      <c r="B2004" s="575"/>
      <c r="C2004" s="578"/>
      <c r="D2004" s="577"/>
      <c r="E2004" s="575"/>
      <c r="F2004" s="564"/>
      <c r="G2004" s="581"/>
      <c r="H2004" s="581"/>
      <c r="I2004" s="581"/>
      <c r="J2004" s="567"/>
      <c r="K2004" s="568"/>
    </row>
    <row r="2005" spans="1:11" s="569" customFormat="1" x14ac:dyDescent="0.25">
      <c r="A2005" s="575">
        <v>40100</v>
      </c>
      <c r="B2005" s="576" t="s">
        <v>818</v>
      </c>
      <c r="C2005" s="610"/>
      <c r="D2005" s="610"/>
      <c r="E2005" s="610"/>
      <c r="F2005" s="610"/>
      <c r="G2005" s="562"/>
      <c r="H2005" s="562"/>
      <c r="I2005" s="562"/>
      <c r="J2005" s="567"/>
      <c r="K2005" s="568"/>
    </row>
    <row r="2006" spans="1:11" x14ac:dyDescent="0.25">
      <c r="A2006" s="575">
        <v>41410</v>
      </c>
      <c r="B2006" s="576" t="s">
        <v>478</v>
      </c>
      <c r="C2006" s="610"/>
      <c r="D2006" s="610"/>
      <c r="E2006" s="610"/>
      <c r="F2006" s="610"/>
      <c r="G2006" s="562"/>
      <c r="H2006" s="562"/>
      <c r="I2006" s="562"/>
      <c r="J2006" s="567"/>
      <c r="K2006" s="568"/>
    </row>
    <row r="2007" spans="1:11" x14ac:dyDescent="0.25">
      <c r="A2007" s="575">
        <v>41440</v>
      </c>
      <c r="B2007" s="576" t="s">
        <v>100</v>
      </c>
      <c r="C2007" s="610"/>
      <c r="D2007" s="610"/>
      <c r="E2007" s="610"/>
      <c r="F2007" s="610"/>
      <c r="G2007" s="562"/>
      <c r="H2007" s="562"/>
      <c r="I2007" s="562"/>
      <c r="J2007" s="567"/>
      <c r="K2007" s="568"/>
    </row>
    <row r="2008" spans="1:11" x14ac:dyDescent="0.25">
      <c r="A2008" s="575">
        <v>41450</v>
      </c>
      <c r="B2008" s="576" t="s">
        <v>101</v>
      </c>
      <c r="C2008" s="610"/>
      <c r="D2008" s="610"/>
      <c r="E2008" s="610"/>
      <c r="F2008" s="610"/>
      <c r="G2008" s="562"/>
      <c r="H2008" s="562"/>
      <c r="I2008" s="562"/>
      <c r="J2008" s="567"/>
      <c r="K2008" s="568"/>
    </row>
    <row r="2009" spans="1:11" x14ac:dyDescent="0.25">
      <c r="A2009" s="575">
        <v>53550</v>
      </c>
      <c r="B2009" s="576" t="s">
        <v>287</v>
      </c>
      <c r="C2009" s="610"/>
      <c r="D2009" s="610"/>
      <c r="E2009" s="610"/>
      <c r="F2009" s="610"/>
      <c r="G2009" s="562"/>
      <c r="H2009" s="562"/>
      <c r="I2009" s="562"/>
      <c r="J2009" s="567"/>
      <c r="K2009" s="568"/>
    </row>
    <row r="2010" spans="1:11" x14ac:dyDescent="0.25">
      <c r="A2010" s="575">
        <v>63000</v>
      </c>
      <c r="B2010" s="576" t="s">
        <v>142</v>
      </c>
      <c r="C2010" s="610"/>
      <c r="D2010" s="610"/>
      <c r="E2010" s="610"/>
      <c r="F2010" s="610"/>
      <c r="G2010" s="562"/>
      <c r="H2010" s="562"/>
      <c r="I2010" s="562"/>
      <c r="J2010" s="567"/>
      <c r="K2010" s="568"/>
    </row>
    <row r="2011" spans="1:11" x14ac:dyDescent="0.25">
      <c r="A2011" s="575">
        <v>69999</v>
      </c>
      <c r="B2011" s="576" t="s">
        <v>203</v>
      </c>
      <c r="C2011" s="610"/>
      <c r="D2011" s="610"/>
      <c r="E2011" s="610"/>
      <c r="F2011" s="610"/>
      <c r="G2011" s="581"/>
      <c r="H2011" s="581"/>
      <c r="I2011" s="581"/>
      <c r="J2011" s="567"/>
      <c r="K2011" s="568"/>
    </row>
    <row r="2012" spans="1:11" x14ac:dyDescent="0.25">
      <c r="A2012" s="590"/>
      <c r="B2012" s="583" t="s">
        <v>242</v>
      </c>
      <c r="C2012" s="588"/>
      <c r="D2012" s="587"/>
      <c r="E2012" s="583"/>
      <c r="F2012" s="588"/>
      <c r="G2012" s="587"/>
      <c r="H2012" s="587"/>
      <c r="I2012" s="587"/>
      <c r="J2012" s="567"/>
      <c r="K2012" s="568"/>
    </row>
    <row r="2013" spans="1:11" x14ac:dyDescent="0.25">
      <c r="A2013" s="560"/>
      <c r="B2013" s="561"/>
      <c r="C2013" s="564"/>
      <c r="D2013" s="581"/>
      <c r="E2013" s="561"/>
      <c r="F2013" s="564"/>
      <c r="G2013" s="581"/>
      <c r="H2013" s="581"/>
      <c r="I2013" s="581"/>
      <c r="J2013" s="567"/>
      <c r="K2013" s="568"/>
    </row>
    <row r="2014" spans="1:11" x14ac:dyDescent="0.25">
      <c r="A2014" s="597" t="s">
        <v>1109</v>
      </c>
      <c r="B2014" s="602" t="s">
        <v>819</v>
      </c>
      <c r="C2014" s="573">
        <v>2017</v>
      </c>
      <c r="D2014" s="572" t="s">
        <v>1236</v>
      </c>
      <c r="E2014" s="572">
        <v>2018</v>
      </c>
      <c r="F2014" s="913" t="s">
        <v>1236</v>
      </c>
      <c r="G2014" s="913" t="s">
        <v>4</v>
      </c>
      <c r="H2014" s="913">
        <v>2019</v>
      </c>
      <c r="I2014" s="913" t="s">
        <v>5</v>
      </c>
      <c r="J2014" s="567"/>
      <c r="K2014" s="568"/>
    </row>
    <row r="2015" spans="1:11" x14ac:dyDescent="0.25">
      <c r="A2015" s="596"/>
      <c r="B2015" s="575" t="s">
        <v>93</v>
      </c>
      <c r="C2015" s="573" t="s">
        <v>6</v>
      </c>
      <c r="D2015" s="574">
        <v>43069</v>
      </c>
      <c r="E2015" s="572" t="s">
        <v>6</v>
      </c>
      <c r="F2015" s="914">
        <v>43131</v>
      </c>
      <c r="G2015" s="914" t="s">
        <v>1131</v>
      </c>
      <c r="H2015" s="914" t="s">
        <v>6</v>
      </c>
      <c r="I2015" s="914" t="s">
        <v>7</v>
      </c>
      <c r="J2015" s="567"/>
      <c r="K2015" s="568"/>
    </row>
    <row r="2016" spans="1:11" x14ac:dyDescent="0.25">
      <c r="A2016" s="596"/>
      <c r="B2016" s="575"/>
      <c r="C2016" s="578"/>
      <c r="D2016" s="593"/>
      <c r="E2016" s="575"/>
      <c r="F2016" s="564"/>
      <c r="G2016" s="581"/>
      <c r="H2016" s="581"/>
      <c r="I2016" s="581"/>
      <c r="J2016" s="567"/>
      <c r="K2016" s="568"/>
    </row>
    <row r="2017" spans="1:11" x14ac:dyDescent="0.25">
      <c r="A2017" s="590">
        <v>54110</v>
      </c>
      <c r="B2017" s="575" t="s">
        <v>103</v>
      </c>
      <c r="C2017" s="610"/>
      <c r="D2017" s="610"/>
      <c r="E2017" s="610"/>
      <c r="F2017" s="610"/>
      <c r="G2017" s="562"/>
      <c r="H2017" s="562"/>
      <c r="I2017" s="562"/>
      <c r="J2017" s="567"/>
      <c r="K2017" s="568"/>
    </row>
    <row r="2018" spans="1:11" x14ac:dyDescent="0.25">
      <c r="A2018" s="590">
        <v>62500</v>
      </c>
      <c r="B2018" s="576" t="s">
        <v>820</v>
      </c>
      <c r="C2018" s="610"/>
      <c r="D2018" s="610"/>
      <c r="E2018" s="610"/>
      <c r="F2018" s="610"/>
      <c r="G2018" s="562"/>
      <c r="H2018" s="562"/>
      <c r="I2018" s="562"/>
      <c r="J2018" s="567"/>
      <c r="K2018" s="568"/>
    </row>
    <row r="2019" spans="1:11" x14ac:dyDescent="0.25">
      <c r="A2019" s="590">
        <v>65520</v>
      </c>
      <c r="B2019" s="576" t="s">
        <v>821</v>
      </c>
      <c r="C2019" s="610"/>
      <c r="D2019" s="610"/>
      <c r="E2019" s="610"/>
      <c r="F2019" s="610"/>
      <c r="G2019" s="562"/>
      <c r="H2019" s="562"/>
      <c r="I2019" s="562"/>
      <c r="J2019" s="567"/>
      <c r="K2019" s="568"/>
    </row>
    <row r="2020" spans="1:11" x14ac:dyDescent="0.25">
      <c r="A2020" s="590">
        <v>69999</v>
      </c>
      <c r="B2020" s="576" t="s">
        <v>355</v>
      </c>
      <c r="C2020" s="610"/>
      <c r="D2020" s="610"/>
      <c r="E2020" s="610"/>
      <c r="F2020" s="610"/>
      <c r="G2020" s="562"/>
      <c r="H2020" s="562"/>
      <c r="I2020" s="562"/>
      <c r="J2020" s="567"/>
      <c r="K2020" s="568"/>
    </row>
    <row r="2021" spans="1:11" s="569" customFormat="1" x14ac:dyDescent="0.25">
      <c r="A2021" s="590"/>
      <c r="B2021" s="583" t="s">
        <v>242</v>
      </c>
      <c r="C2021" s="588"/>
      <c r="D2021" s="587"/>
      <c r="E2021" s="583"/>
      <c r="F2021" s="588"/>
      <c r="G2021" s="587"/>
      <c r="H2021" s="587"/>
      <c r="I2021" s="587"/>
      <c r="J2021" s="567"/>
      <c r="K2021" s="568"/>
    </row>
    <row r="2022" spans="1:11" s="569" customFormat="1" x14ac:dyDescent="0.25">
      <c r="A2022" s="590"/>
      <c r="B2022" s="576"/>
      <c r="C2022" s="564"/>
      <c r="D2022" s="581"/>
      <c r="E2022" s="576"/>
      <c r="F2022" s="564"/>
      <c r="G2022" s="581"/>
      <c r="H2022" s="581"/>
      <c r="I2022" s="581"/>
      <c r="J2022" s="666"/>
      <c r="K2022" s="568"/>
    </row>
    <row r="2023" spans="1:11" x14ac:dyDescent="0.25">
      <c r="A2023" s="560"/>
      <c r="B2023" s="561"/>
      <c r="C2023" s="565"/>
      <c r="D2023" s="566"/>
      <c r="E2023" s="561"/>
      <c r="F2023" s="564"/>
      <c r="G2023" s="581"/>
      <c r="H2023" s="581"/>
      <c r="I2023" s="581"/>
      <c r="J2023" s="666"/>
      <c r="K2023" s="568"/>
    </row>
    <row r="2024" spans="1:11" x14ac:dyDescent="0.25">
      <c r="A2024" s="915" t="s">
        <v>1110</v>
      </c>
      <c r="B2024" s="918" t="s">
        <v>722</v>
      </c>
      <c r="C2024" s="573">
        <v>2017</v>
      </c>
      <c r="D2024" s="572" t="s">
        <v>1236</v>
      </c>
      <c r="E2024" s="572">
        <v>2018</v>
      </c>
      <c r="F2024" s="913" t="s">
        <v>1236</v>
      </c>
      <c r="G2024" s="913" t="s">
        <v>4</v>
      </c>
      <c r="H2024" s="913">
        <v>2019</v>
      </c>
      <c r="I2024" s="913" t="s">
        <v>5</v>
      </c>
      <c r="J2024" s="666"/>
      <c r="K2024" s="568"/>
    </row>
    <row r="2025" spans="1:11" x14ac:dyDescent="0.25">
      <c r="A2025" s="590"/>
      <c r="B2025" s="580" t="s">
        <v>822</v>
      </c>
      <c r="C2025" s="573" t="s">
        <v>6</v>
      </c>
      <c r="D2025" s="574">
        <v>43069</v>
      </c>
      <c r="E2025" s="572" t="s">
        <v>6</v>
      </c>
      <c r="F2025" s="914">
        <v>43131</v>
      </c>
      <c r="G2025" s="914" t="s">
        <v>1131</v>
      </c>
      <c r="H2025" s="914" t="s">
        <v>6</v>
      </c>
      <c r="I2025" s="914" t="s">
        <v>7</v>
      </c>
      <c r="J2025" s="666"/>
      <c r="K2025" s="568"/>
    </row>
    <row r="2026" spans="1:11" x14ac:dyDescent="0.25">
      <c r="A2026" s="590"/>
      <c r="B2026" s="583"/>
      <c r="C2026" s="578"/>
      <c r="D2026" s="577"/>
      <c r="E2026" s="583"/>
      <c r="F2026" s="564"/>
      <c r="G2026" s="581"/>
      <c r="H2026" s="581"/>
      <c r="I2026" s="581"/>
      <c r="J2026" s="666"/>
      <c r="K2026" s="568"/>
    </row>
    <row r="2027" spans="1:11" x14ac:dyDescent="0.25">
      <c r="A2027" s="575">
        <v>40110</v>
      </c>
      <c r="B2027" s="576" t="s">
        <v>823</v>
      </c>
      <c r="C2027" s="581">
        <v>1500</v>
      </c>
      <c r="D2027" s="581">
        <v>0</v>
      </c>
      <c r="E2027" s="581"/>
      <c r="F2027" s="581"/>
      <c r="G2027" s="581"/>
      <c r="H2027" s="581"/>
      <c r="I2027" s="581"/>
      <c r="J2027" s="567"/>
      <c r="K2027" s="568"/>
    </row>
    <row r="2028" spans="1:11" x14ac:dyDescent="0.25">
      <c r="A2028" s="575">
        <v>41410</v>
      </c>
      <c r="B2028" s="576" t="s">
        <v>478</v>
      </c>
      <c r="C2028" s="581"/>
      <c r="D2028" s="581">
        <v>0</v>
      </c>
      <c r="E2028" s="581"/>
      <c r="F2028" s="581"/>
      <c r="G2028" s="581"/>
      <c r="H2028" s="581"/>
      <c r="I2028" s="581"/>
      <c r="J2028" s="567"/>
      <c r="K2028" s="568"/>
    </row>
    <row r="2029" spans="1:11" x14ac:dyDescent="0.25">
      <c r="A2029" s="575">
        <v>41430</v>
      </c>
      <c r="B2029" s="576" t="s">
        <v>98</v>
      </c>
      <c r="C2029" s="581"/>
      <c r="D2029" s="581">
        <v>0</v>
      </c>
      <c r="E2029" s="581"/>
      <c r="F2029" s="581"/>
      <c r="G2029" s="581"/>
      <c r="H2029" s="581"/>
      <c r="I2029" s="581"/>
      <c r="J2029" s="567"/>
      <c r="K2029" s="568"/>
    </row>
    <row r="2030" spans="1:11" x14ac:dyDescent="0.25">
      <c r="A2030" s="575">
        <v>41440</v>
      </c>
      <c r="B2030" s="576" t="s">
        <v>100</v>
      </c>
      <c r="C2030" s="581">
        <v>93</v>
      </c>
      <c r="D2030" s="581">
        <v>0</v>
      </c>
      <c r="E2030" s="581"/>
      <c r="F2030" s="581"/>
      <c r="G2030" s="581"/>
      <c r="H2030" s="581"/>
      <c r="I2030" s="581"/>
      <c r="J2030" s="567"/>
      <c r="K2030" s="568"/>
    </row>
    <row r="2031" spans="1:11" x14ac:dyDescent="0.25">
      <c r="A2031" s="575">
        <v>41450</v>
      </c>
      <c r="B2031" s="576" t="s">
        <v>101</v>
      </c>
      <c r="C2031" s="581">
        <v>22</v>
      </c>
      <c r="D2031" s="581">
        <v>0</v>
      </c>
      <c r="E2031" s="581"/>
      <c r="F2031" s="581"/>
      <c r="G2031" s="581"/>
      <c r="H2031" s="581"/>
      <c r="I2031" s="581"/>
      <c r="J2031" s="567"/>
      <c r="K2031" s="568"/>
    </row>
    <row r="2032" spans="1:11" x14ac:dyDescent="0.25">
      <c r="A2032" s="575">
        <v>41470</v>
      </c>
      <c r="B2032" s="576" t="s">
        <v>102</v>
      </c>
      <c r="C2032" s="581"/>
      <c r="D2032" s="581">
        <v>0</v>
      </c>
      <c r="E2032" s="581"/>
      <c r="F2032" s="581"/>
      <c r="G2032" s="581"/>
      <c r="H2032" s="581"/>
      <c r="I2032" s="581"/>
      <c r="J2032" s="567"/>
      <c r="K2032" s="568"/>
    </row>
    <row r="2033" spans="1:11" x14ac:dyDescent="0.25">
      <c r="A2033" s="590">
        <v>59120</v>
      </c>
      <c r="B2033" s="576" t="s">
        <v>824</v>
      </c>
      <c r="C2033" s="581"/>
      <c r="D2033" s="581">
        <v>0</v>
      </c>
      <c r="E2033" s="581"/>
      <c r="F2033" s="581"/>
      <c r="G2033" s="581"/>
      <c r="H2033" s="581"/>
      <c r="I2033" s="581"/>
      <c r="J2033" s="567"/>
      <c r="K2033" s="568"/>
    </row>
    <row r="2034" spans="1:11" x14ac:dyDescent="0.25">
      <c r="A2034" s="575">
        <v>62500</v>
      </c>
      <c r="B2034" s="576" t="s">
        <v>109</v>
      </c>
      <c r="C2034" s="581"/>
      <c r="D2034" s="581">
        <v>0</v>
      </c>
      <c r="E2034" s="581"/>
      <c r="F2034" s="581"/>
      <c r="G2034" s="581"/>
      <c r="H2034" s="581"/>
      <c r="I2034" s="581"/>
      <c r="J2034" s="567"/>
      <c r="K2034" s="568"/>
    </row>
    <row r="2035" spans="1:11" x14ac:dyDescent="0.25">
      <c r="A2035" s="575">
        <v>62530</v>
      </c>
      <c r="B2035" s="576" t="s">
        <v>171</v>
      </c>
      <c r="C2035" s="581"/>
      <c r="D2035" s="581">
        <v>0</v>
      </c>
      <c r="E2035" s="581"/>
      <c r="F2035" s="581"/>
      <c r="G2035" s="581"/>
      <c r="H2035" s="581"/>
      <c r="I2035" s="581"/>
      <c r="J2035" s="567"/>
      <c r="K2035" s="568"/>
    </row>
    <row r="2036" spans="1:11" x14ac:dyDescent="0.25">
      <c r="A2036" s="590">
        <v>62550</v>
      </c>
      <c r="B2036" s="576" t="s">
        <v>825</v>
      </c>
      <c r="C2036" s="581"/>
      <c r="D2036" s="581">
        <v>0</v>
      </c>
      <c r="E2036" s="581"/>
      <c r="F2036" s="581"/>
      <c r="G2036" s="581"/>
      <c r="H2036" s="581"/>
      <c r="I2036" s="581"/>
      <c r="J2036" s="567"/>
      <c r="K2036" s="568"/>
    </row>
    <row r="2037" spans="1:11" x14ac:dyDescent="0.25">
      <c r="A2037" s="575">
        <v>69999</v>
      </c>
      <c r="B2037" s="576" t="s">
        <v>826</v>
      </c>
      <c r="C2037" s="581"/>
      <c r="D2037" s="581">
        <v>0</v>
      </c>
      <c r="E2037" s="581"/>
      <c r="F2037" s="581"/>
      <c r="G2037" s="581"/>
      <c r="H2037" s="581"/>
      <c r="I2037" s="581"/>
      <c r="J2037" s="567"/>
      <c r="K2037" s="568"/>
    </row>
    <row r="2038" spans="1:11" x14ac:dyDescent="0.25">
      <c r="A2038" s="590"/>
      <c r="B2038" s="583" t="s">
        <v>242</v>
      </c>
      <c r="C2038" s="587">
        <f>SUM(C2027:C2037)</f>
        <v>1615</v>
      </c>
      <c r="D2038" s="587">
        <f t="shared" ref="D2038" si="292">SUM(D2027:D2037)</f>
        <v>0</v>
      </c>
      <c r="E2038" s="587"/>
      <c r="F2038" s="587"/>
      <c r="G2038" s="587"/>
      <c r="H2038" s="587"/>
      <c r="I2038" s="587"/>
      <c r="J2038" s="567"/>
      <c r="K2038" s="568"/>
    </row>
    <row r="2039" spans="1:11" x14ac:dyDescent="0.25">
      <c r="A2039" s="575"/>
      <c r="B2039" s="576"/>
      <c r="C2039" s="564"/>
      <c r="D2039" s="581"/>
      <c r="E2039" s="576"/>
      <c r="F2039" s="564"/>
      <c r="G2039" s="581"/>
      <c r="H2039" s="581"/>
      <c r="I2039" s="581"/>
      <c r="J2039" s="567"/>
      <c r="K2039" s="568"/>
    </row>
    <row r="2040" spans="1:11" x14ac:dyDescent="0.25">
      <c r="A2040" s="560"/>
      <c r="B2040" s="561"/>
      <c r="C2040" s="564"/>
      <c r="D2040" s="576"/>
      <c r="E2040" s="561"/>
      <c r="F2040" s="564"/>
      <c r="G2040" s="581"/>
      <c r="H2040" s="581"/>
      <c r="I2040" s="581"/>
      <c r="J2040" s="567"/>
      <c r="K2040" s="568"/>
    </row>
    <row r="2041" spans="1:11" x14ac:dyDescent="0.25">
      <c r="A2041" s="915" t="s">
        <v>1111</v>
      </c>
      <c r="B2041" s="918" t="s">
        <v>827</v>
      </c>
      <c r="C2041" s="573">
        <v>2017</v>
      </c>
      <c r="D2041" s="572" t="s">
        <v>1236</v>
      </c>
      <c r="E2041" s="572">
        <v>2018</v>
      </c>
      <c r="F2041" s="913" t="s">
        <v>1236</v>
      </c>
      <c r="G2041" s="913" t="s">
        <v>4</v>
      </c>
      <c r="H2041" s="913">
        <v>2019</v>
      </c>
      <c r="I2041" s="913" t="s">
        <v>5</v>
      </c>
      <c r="J2041" s="567"/>
      <c r="K2041" s="568"/>
    </row>
    <row r="2042" spans="1:11" x14ac:dyDescent="0.25">
      <c r="A2042" s="596"/>
      <c r="B2042" s="575" t="s">
        <v>93</v>
      </c>
      <c r="C2042" s="573" t="s">
        <v>6</v>
      </c>
      <c r="D2042" s="574">
        <v>43069</v>
      </c>
      <c r="E2042" s="572" t="s">
        <v>6</v>
      </c>
      <c r="F2042" s="914">
        <v>43131</v>
      </c>
      <c r="G2042" s="914" t="s">
        <v>1131</v>
      </c>
      <c r="H2042" s="914" t="s">
        <v>6</v>
      </c>
      <c r="I2042" s="914" t="s">
        <v>7</v>
      </c>
      <c r="J2042" s="567"/>
      <c r="K2042" s="568"/>
    </row>
    <row r="2043" spans="1:11" x14ac:dyDescent="0.25">
      <c r="A2043" s="596"/>
      <c r="B2043" s="575"/>
      <c r="C2043" s="578"/>
      <c r="D2043" s="577"/>
      <c r="E2043" s="575"/>
      <c r="F2043" s="564"/>
      <c r="G2043" s="581"/>
      <c r="H2043" s="581"/>
      <c r="I2043" s="581"/>
      <c r="J2043" s="567"/>
      <c r="K2043" s="568"/>
    </row>
    <row r="2044" spans="1:11" x14ac:dyDescent="0.25">
      <c r="A2044" s="575">
        <v>40110</v>
      </c>
      <c r="B2044" s="576" t="s">
        <v>380</v>
      </c>
      <c r="C2044" s="610"/>
      <c r="D2044" s="610"/>
      <c r="E2044" s="610"/>
      <c r="F2044" s="610"/>
      <c r="G2044" s="581"/>
      <c r="H2044" s="562"/>
      <c r="I2044" s="562"/>
      <c r="J2044" s="567"/>
      <c r="K2044" s="568"/>
    </row>
    <row r="2045" spans="1:11" x14ac:dyDescent="0.25">
      <c r="A2045" s="575">
        <v>41410</v>
      </c>
      <c r="B2045" s="576" t="s">
        <v>478</v>
      </c>
      <c r="C2045" s="610"/>
      <c r="D2045" s="610"/>
      <c r="E2045" s="610"/>
      <c r="F2045" s="610"/>
      <c r="G2045" s="581"/>
      <c r="H2045" s="562"/>
      <c r="I2045" s="562"/>
      <c r="J2045" s="567"/>
      <c r="K2045" s="568"/>
    </row>
    <row r="2046" spans="1:11" s="569" customFormat="1" x14ac:dyDescent="0.25">
      <c r="A2046" s="575">
        <v>41430</v>
      </c>
      <c r="B2046" s="576" t="s">
        <v>98</v>
      </c>
      <c r="C2046" s="610"/>
      <c r="D2046" s="610"/>
      <c r="E2046" s="610"/>
      <c r="F2046" s="610"/>
      <c r="G2046" s="581"/>
      <c r="H2046" s="562"/>
      <c r="I2046" s="562"/>
      <c r="J2046" s="567"/>
      <c r="K2046" s="568"/>
    </row>
    <row r="2047" spans="1:11" s="569" customFormat="1" x14ac:dyDescent="0.25">
      <c r="A2047" s="575">
        <v>41440</v>
      </c>
      <c r="B2047" s="576" t="s">
        <v>100</v>
      </c>
      <c r="C2047" s="610"/>
      <c r="D2047" s="610"/>
      <c r="E2047" s="610"/>
      <c r="F2047" s="610"/>
      <c r="G2047" s="581"/>
      <c r="H2047" s="562"/>
      <c r="I2047" s="562"/>
      <c r="J2047" s="567"/>
      <c r="K2047" s="568"/>
    </row>
    <row r="2048" spans="1:11" x14ac:dyDescent="0.25">
      <c r="A2048" s="575">
        <v>41450</v>
      </c>
      <c r="B2048" s="576" t="s">
        <v>101</v>
      </c>
      <c r="C2048" s="610"/>
      <c r="D2048" s="610"/>
      <c r="E2048" s="610"/>
      <c r="F2048" s="610"/>
      <c r="G2048" s="581"/>
      <c r="H2048" s="562"/>
      <c r="I2048" s="562"/>
      <c r="J2048" s="567"/>
      <c r="K2048" s="568"/>
    </row>
    <row r="2049" spans="1:11" x14ac:dyDescent="0.25">
      <c r="A2049" s="575">
        <v>41470</v>
      </c>
      <c r="B2049" s="576" t="s">
        <v>102</v>
      </c>
      <c r="C2049" s="610"/>
      <c r="D2049" s="610"/>
      <c r="E2049" s="610"/>
      <c r="F2049" s="610"/>
      <c r="G2049" s="581"/>
      <c r="H2049" s="562"/>
      <c r="I2049" s="562"/>
      <c r="J2049" s="567"/>
      <c r="K2049" s="568"/>
    </row>
    <row r="2050" spans="1:11" x14ac:dyDescent="0.25">
      <c r="A2050" s="575">
        <v>54110</v>
      </c>
      <c r="B2050" s="576" t="s">
        <v>103</v>
      </c>
      <c r="C2050" s="610"/>
      <c r="D2050" s="610"/>
      <c r="E2050" s="610"/>
      <c r="F2050" s="610"/>
      <c r="G2050" s="562"/>
      <c r="H2050" s="562"/>
      <c r="I2050" s="562"/>
      <c r="J2050" s="567"/>
      <c r="K2050" s="568"/>
    </row>
    <row r="2051" spans="1:11" x14ac:dyDescent="0.25">
      <c r="A2051" s="575">
        <v>54115</v>
      </c>
      <c r="B2051" s="576" t="s">
        <v>828</v>
      </c>
      <c r="C2051" s="610"/>
      <c r="D2051" s="610"/>
      <c r="E2051" s="610"/>
      <c r="F2051" s="610"/>
      <c r="G2051" s="562"/>
      <c r="H2051" s="562"/>
      <c r="I2051" s="562"/>
      <c r="J2051" s="567"/>
      <c r="K2051" s="568"/>
    </row>
    <row r="2052" spans="1:11" x14ac:dyDescent="0.25">
      <c r="A2052" s="575">
        <v>60000</v>
      </c>
      <c r="B2052" s="576" t="s">
        <v>199</v>
      </c>
      <c r="C2052" s="610"/>
      <c r="D2052" s="610"/>
      <c r="E2052" s="610"/>
      <c r="F2052" s="610"/>
      <c r="G2052" s="562"/>
      <c r="H2052" s="562"/>
      <c r="I2052" s="562"/>
      <c r="J2052" s="567"/>
      <c r="K2052" s="568"/>
    </row>
    <row r="2053" spans="1:11" x14ac:dyDescent="0.25">
      <c r="A2053" s="575">
        <v>62500</v>
      </c>
      <c r="B2053" s="576" t="s">
        <v>109</v>
      </c>
      <c r="C2053" s="610"/>
      <c r="D2053" s="610"/>
      <c r="E2053" s="610"/>
      <c r="F2053" s="610"/>
      <c r="G2053" s="562"/>
      <c r="H2053" s="562"/>
      <c r="I2053" s="562"/>
      <c r="J2053" s="567"/>
      <c r="K2053" s="568"/>
    </row>
    <row r="2054" spans="1:11" x14ac:dyDescent="0.25">
      <c r="A2054" s="575">
        <v>62510</v>
      </c>
      <c r="B2054" s="576" t="s">
        <v>110</v>
      </c>
      <c r="C2054" s="610"/>
      <c r="D2054" s="610"/>
      <c r="E2054" s="610"/>
      <c r="F2054" s="610"/>
      <c r="G2054" s="562"/>
      <c r="H2054" s="562"/>
      <c r="I2054" s="562"/>
      <c r="J2054" s="567"/>
      <c r="K2054" s="568"/>
    </row>
    <row r="2055" spans="1:11" x14ac:dyDescent="0.25">
      <c r="A2055" s="575">
        <v>62530</v>
      </c>
      <c r="B2055" s="576" t="s">
        <v>171</v>
      </c>
      <c r="C2055" s="610"/>
      <c r="D2055" s="610"/>
      <c r="E2055" s="610"/>
      <c r="F2055" s="610"/>
      <c r="G2055" s="562"/>
      <c r="H2055" s="562"/>
      <c r="I2055" s="562"/>
      <c r="J2055" s="567"/>
      <c r="K2055" s="568"/>
    </row>
    <row r="2056" spans="1:11" x14ac:dyDescent="0.25">
      <c r="A2056" s="575">
        <v>62550</v>
      </c>
      <c r="B2056" s="576" t="s">
        <v>184</v>
      </c>
      <c r="C2056" s="610"/>
      <c r="D2056" s="610"/>
      <c r="E2056" s="610"/>
      <c r="F2056" s="610"/>
      <c r="G2056" s="562"/>
      <c r="H2056" s="562"/>
      <c r="I2056" s="562"/>
      <c r="J2056" s="567"/>
      <c r="K2056" s="568"/>
    </row>
    <row r="2057" spans="1:11" x14ac:dyDescent="0.25">
      <c r="A2057" s="575">
        <v>63240</v>
      </c>
      <c r="B2057" s="576" t="s">
        <v>829</v>
      </c>
      <c r="C2057" s="610"/>
      <c r="D2057" s="610"/>
      <c r="E2057" s="610"/>
      <c r="F2057" s="610"/>
      <c r="G2057" s="562"/>
      <c r="H2057" s="562"/>
      <c r="I2057" s="562"/>
      <c r="J2057" s="567"/>
      <c r="K2057" s="568"/>
    </row>
    <row r="2058" spans="1:11" x14ac:dyDescent="0.25">
      <c r="A2058" s="575">
        <v>63274</v>
      </c>
      <c r="B2058" s="576" t="s">
        <v>830</v>
      </c>
      <c r="C2058" s="610"/>
      <c r="D2058" s="610"/>
      <c r="E2058" s="610"/>
      <c r="F2058" s="610"/>
      <c r="G2058" s="562"/>
      <c r="H2058" s="562"/>
      <c r="I2058" s="562"/>
      <c r="J2058" s="567"/>
      <c r="K2058" s="568"/>
    </row>
    <row r="2059" spans="1:11" x14ac:dyDescent="0.25">
      <c r="A2059" s="575">
        <v>65400</v>
      </c>
      <c r="B2059" s="576" t="s">
        <v>816</v>
      </c>
      <c r="C2059" s="610"/>
      <c r="D2059" s="610"/>
      <c r="E2059" s="610"/>
      <c r="F2059" s="610"/>
      <c r="G2059" s="562"/>
      <c r="H2059" s="562"/>
      <c r="I2059" s="562"/>
      <c r="J2059" s="567"/>
      <c r="K2059" s="568"/>
    </row>
    <row r="2060" spans="1:11" x14ac:dyDescent="0.25">
      <c r="A2060" s="575">
        <v>69010</v>
      </c>
      <c r="B2060" s="576" t="s">
        <v>156</v>
      </c>
      <c r="C2060" s="610"/>
      <c r="D2060" s="610"/>
      <c r="E2060" s="610"/>
      <c r="F2060" s="610"/>
      <c r="G2060" s="562"/>
      <c r="H2060" s="562"/>
      <c r="I2060" s="562"/>
      <c r="J2060" s="567"/>
      <c r="K2060" s="568"/>
    </row>
    <row r="2061" spans="1:11" x14ac:dyDescent="0.25">
      <c r="A2061" s="575">
        <v>69999</v>
      </c>
      <c r="B2061" s="576" t="s">
        <v>355</v>
      </c>
      <c r="C2061" s="610"/>
      <c r="D2061" s="610"/>
      <c r="E2061" s="610"/>
      <c r="F2061" s="610"/>
      <c r="G2061" s="562"/>
      <c r="H2061" s="562"/>
      <c r="I2061" s="562"/>
      <c r="J2061" s="567"/>
      <c r="K2061" s="568"/>
    </row>
    <row r="2062" spans="1:11" x14ac:dyDescent="0.25">
      <c r="A2062" s="575"/>
      <c r="B2062" s="576" t="s">
        <v>831</v>
      </c>
      <c r="C2062" s="610"/>
      <c r="D2062" s="610"/>
      <c r="E2062" s="610"/>
      <c r="F2062" s="610"/>
      <c r="G2062" s="562"/>
      <c r="H2062" s="562"/>
      <c r="I2062" s="562"/>
      <c r="J2062" s="567"/>
      <c r="K2062" s="568"/>
    </row>
    <row r="2063" spans="1:11" x14ac:dyDescent="0.25">
      <c r="A2063" s="590"/>
      <c r="B2063" s="583" t="s">
        <v>242</v>
      </c>
      <c r="C2063" s="588"/>
      <c r="D2063" s="587"/>
      <c r="E2063" s="583"/>
      <c r="F2063" s="588"/>
      <c r="G2063" s="587"/>
      <c r="H2063" s="587"/>
      <c r="I2063" s="587"/>
      <c r="J2063" s="567"/>
      <c r="K2063" s="568"/>
    </row>
    <row r="2064" spans="1:11" x14ac:dyDescent="0.25">
      <c r="A2064" s="590"/>
      <c r="B2064" s="583"/>
      <c r="C2064" s="564"/>
      <c r="D2064" s="581"/>
      <c r="E2064" s="583"/>
      <c r="F2064" s="564"/>
      <c r="G2064" s="581"/>
      <c r="H2064" s="581"/>
      <c r="I2064" s="581"/>
      <c r="J2064" s="567"/>
      <c r="K2064" s="568"/>
    </row>
    <row r="2065" spans="1:11" s="569" customFormat="1" x14ac:dyDescent="0.25">
      <c r="A2065" s="560"/>
      <c r="B2065" s="561"/>
      <c r="C2065" s="564"/>
      <c r="D2065" s="576"/>
      <c r="E2065" s="561"/>
      <c r="F2065" s="564"/>
      <c r="G2065" s="581"/>
      <c r="H2065" s="581"/>
      <c r="I2065" s="581"/>
      <c r="J2065" s="567"/>
      <c r="K2065" s="568"/>
    </row>
    <row r="2066" spans="1:11" s="569" customFormat="1" x14ac:dyDescent="0.25">
      <c r="A2066" s="603" t="s">
        <v>1112</v>
      </c>
      <c r="B2066" s="604" t="s">
        <v>1133</v>
      </c>
      <c r="C2066" s="573">
        <v>2017</v>
      </c>
      <c r="D2066" s="572" t="s">
        <v>1236</v>
      </c>
      <c r="E2066" s="572">
        <v>2018</v>
      </c>
      <c r="F2066" s="913" t="s">
        <v>1236</v>
      </c>
      <c r="G2066" s="913" t="s">
        <v>4</v>
      </c>
      <c r="H2066" s="913">
        <v>2019</v>
      </c>
      <c r="I2066" s="913" t="s">
        <v>5</v>
      </c>
      <c r="J2066" s="567"/>
      <c r="K2066" s="568"/>
    </row>
    <row r="2067" spans="1:11" x14ac:dyDescent="0.25">
      <c r="A2067" s="590"/>
      <c r="B2067" s="575" t="s">
        <v>93</v>
      </c>
      <c r="C2067" s="573" t="s">
        <v>6</v>
      </c>
      <c r="D2067" s="574">
        <v>43069</v>
      </c>
      <c r="E2067" s="572" t="s">
        <v>6</v>
      </c>
      <c r="F2067" s="914">
        <v>43131</v>
      </c>
      <c r="G2067" s="914" t="s">
        <v>1131</v>
      </c>
      <c r="H2067" s="914" t="s">
        <v>6</v>
      </c>
      <c r="I2067" s="914" t="s">
        <v>7</v>
      </c>
      <c r="J2067" s="567"/>
      <c r="K2067" s="568"/>
    </row>
    <row r="2068" spans="1:11" x14ac:dyDescent="0.25">
      <c r="A2068" s="590"/>
      <c r="B2068" s="575"/>
      <c r="C2068" s="578"/>
      <c r="D2068" s="593"/>
      <c r="E2068" s="575"/>
      <c r="F2068" s="564"/>
      <c r="G2068" s="581"/>
      <c r="H2068" s="581"/>
      <c r="I2068" s="581"/>
      <c r="J2068" s="567"/>
      <c r="K2068" s="568"/>
    </row>
    <row r="2069" spans="1:11" x14ac:dyDescent="0.25">
      <c r="A2069" s="575">
        <v>40110</v>
      </c>
      <c r="B2069" s="576" t="s">
        <v>380</v>
      </c>
      <c r="C2069" s="581"/>
      <c r="D2069" s="581"/>
      <c r="E2069" s="581"/>
      <c r="F2069" s="581"/>
      <c r="G2069" s="581"/>
      <c r="H2069" s="581"/>
      <c r="I2069" s="581"/>
      <c r="J2069" s="567"/>
      <c r="K2069" s="568"/>
    </row>
    <row r="2070" spans="1:11" x14ac:dyDescent="0.25">
      <c r="A2070" s="575">
        <v>41410</v>
      </c>
      <c r="B2070" s="576" t="s">
        <v>478</v>
      </c>
      <c r="C2070" s="581"/>
      <c r="D2070" s="581"/>
      <c r="E2070" s="581"/>
      <c r="F2070" s="581"/>
      <c r="G2070" s="581"/>
      <c r="H2070" s="581"/>
      <c r="I2070" s="581"/>
      <c r="J2070" s="567"/>
      <c r="K2070" s="568"/>
    </row>
    <row r="2071" spans="1:11" x14ac:dyDescent="0.25">
      <c r="A2071" s="575">
        <v>41430</v>
      </c>
      <c r="B2071" s="576" t="s">
        <v>98</v>
      </c>
      <c r="C2071" s="581"/>
      <c r="D2071" s="581"/>
      <c r="E2071" s="581"/>
      <c r="F2071" s="581"/>
      <c r="G2071" s="581"/>
      <c r="H2071" s="581"/>
      <c r="I2071" s="581"/>
      <c r="J2071" s="567"/>
      <c r="K2071" s="568"/>
    </row>
    <row r="2072" spans="1:11" x14ac:dyDescent="0.25">
      <c r="A2072" s="575">
        <v>41440</v>
      </c>
      <c r="B2072" s="576" t="s">
        <v>100</v>
      </c>
      <c r="C2072" s="581"/>
      <c r="D2072" s="581"/>
      <c r="E2072" s="581"/>
      <c r="F2072" s="581"/>
      <c r="G2072" s="581"/>
      <c r="H2072" s="581"/>
      <c r="I2072" s="581"/>
      <c r="J2072" s="567"/>
      <c r="K2072" s="568"/>
    </row>
    <row r="2073" spans="1:11" x14ac:dyDescent="0.25">
      <c r="A2073" s="575">
        <v>41450</v>
      </c>
      <c r="B2073" s="576" t="s">
        <v>101</v>
      </c>
      <c r="C2073" s="581"/>
      <c r="D2073" s="581"/>
      <c r="E2073" s="581"/>
      <c r="F2073" s="581"/>
      <c r="G2073" s="581"/>
      <c r="H2073" s="581"/>
      <c r="I2073" s="581"/>
      <c r="J2073" s="567"/>
      <c r="K2073" s="568"/>
    </row>
    <row r="2074" spans="1:11" x14ac:dyDescent="0.25">
      <c r="A2074" s="575">
        <v>41470</v>
      </c>
      <c r="B2074" s="576" t="s">
        <v>102</v>
      </c>
      <c r="C2074" s="581"/>
      <c r="D2074" s="581"/>
      <c r="E2074" s="581"/>
      <c r="F2074" s="581"/>
      <c r="G2074" s="581"/>
      <c r="H2074" s="581"/>
      <c r="I2074" s="581"/>
      <c r="J2074" s="567"/>
      <c r="K2074" s="568"/>
    </row>
    <row r="2075" spans="1:11" x14ac:dyDescent="0.25">
      <c r="A2075" s="575">
        <v>54110</v>
      </c>
      <c r="B2075" s="576" t="s">
        <v>103</v>
      </c>
      <c r="C2075" s="581"/>
      <c r="D2075" s="581"/>
      <c r="E2075" s="581"/>
      <c r="F2075" s="581"/>
      <c r="G2075" s="581"/>
      <c r="H2075" s="581"/>
      <c r="I2075" s="581"/>
      <c r="J2075" s="567"/>
      <c r="K2075" s="568"/>
    </row>
    <row r="2076" spans="1:11" x14ac:dyDescent="0.25">
      <c r="A2076" s="575">
        <v>54115</v>
      </c>
      <c r="B2076" s="576" t="s">
        <v>757</v>
      </c>
      <c r="C2076" s="581"/>
      <c r="D2076" s="581"/>
      <c r="E2076" s="581"/>
      <c r="F2076" s="581"/>
      <c r="G2076" s="581"/>
      <c r="H2076" s="581"/>
      <c r="I2076" s="581"/>
      <c r="J2076" s="567"/>
      <c r="K2076" s="568"/>
    </row>
    <row r="2077" spans="1:11" x14ac:dyDescent="0.25">
      <c r="A2077" s="575">
        <v>62500</v>
      </c>
      <c r="B2077" s="576" t="s">
        <v>109</v>
      </c>
      <c r="C2077" s="581"/>
      <c r="D2077" s="581"/>
      <c r="E2077" s="581"/>
      <c r="F2077" s="581"/>
      <c r="G2077" s="581"/>
      <c r="H2077" s="581"/>
      <c r="I2077" s="581"/>
      <c r="J2077" s="567"/>
      <c r="K2077" s="568"/>
    </row>
    <row r="2078" spans="1:11" x14ac:dyDescent="0.25">
      <c r="A2078" s="575">
        <v>62510</v>
      </c>
      <c r="B2078" s="576" t="s">
        <v>110</v>
      </c>
      <c r="C2078" s="581"/>
      <c r="D2078" s="581"/>
      <c r="E2078" s="581"/>
      <c r="F2078" s="581"/>
      <c r="G2078" s="581"/>
      <c r="H2078" s="581"/>
      <c r="I2078" s="581"/>
      <c r="J2078" s="567"/>
      <c r="K2078" s="568"/>
    </row>
    <row r="2079" spans="1:11" s="569" customFormat="1" x14ac:dyDescent="0.25">
      <c r="A2079" s="575">
        <v>62530</v>
      </c>
      <c r="B2079" s="576" t="s">
        <v>171</v>
      </c>
      <c r="C2079" s="581"/>
      <c r="D2079" s="581"/>
      <c r="E2079" s="581"/>
      <c r="F2079" s="581"/>
      <c r="G2079" s="581"/>
      <c r="H2079" s="581"/>
      <c r="I2079" s="581"/>
      <c r="J2079" s="567"/>
      <c r="K2079" s="568"/>
    </row>
    <row r="2080" spans="1:11" x14ac:dyDescent="0.25">
      <c r="A2080" s="575">
        <v>63000</v>
      </c>
      <c r="B2080" s="576" t="s">
        <v>142</v>
      </c>
      <c r="C2080" s="581"/>
      <c r="D2080" s="581"/>
      <c r="E2080" s="581"/>
      <c r="F2080" s="581"/>
      <c r="G2080" s="581"/>
      <c r="H2080" s="581"/>
      <c r="I2080" s="581"/>
      <c r="J2080" s="567"/>
      <c r="K2080" s="568"/>
    </row>
    <row r="2081" spans="1:11" x14ac:dyDescent="0.25">
      <c r="A2081" s="575">
        <v>69010</v>
      </c>
      <c r="B2081" s="576" t="s">
        <v>832</v>
      </c>
      <c r="C2081" s="581"/>
      <c r="D2081" s="581"/>
      <c r="E2081" s="581"/>
      <c r="F2081" s="581"/>
      <c r="G2081" s="581"/>
      <c r="H2081" s="581"/>
      <c r="I2081" s="581"/>
      <c r="J2081" s="567"/>
      <c r="K2081" s="568"/>
    </row>
    <row r="2082" spans="1:11" x14ac:dyDescent="0.25">
      <c r="A2082" s="590"/>
      <c r="B2082" s="589" t="s">
        <v>242</v>
      </c>
      <c r="C2082" s="587"/>
      <c r="D2082" s="587"/>
      <c r="E2082" s="589"/>
      <c r="F2082" s="587"/>
      <c r="G2082" s="587"/>
      <c r="H2082" s="587"/>
      <c r="I2082" s="587"/>
      <c r="J2082" s="567"/>
      <c r="K2082" s="568"/>
    </row>
    <row r="2083" spans="1:11" x14ac:dyDescent="0.25">
      <c r="A2083" s="590"/>
      <c r="B2083" s="583"/>
      <c r="C2083" s="564"/>
      <c r="D2083" s="576"/>
      <c r="E2083" s="583"/>
      <c r="F2083" s="564"/>
      <c r="G2083" s="581"/>
      <c r="H2083" s="581"/>
      <c r="I2083" s="581"/>
      <c r="J2083" s="567"/>
      <c r="K2083" s="568"/>
    </row>
    <row r="2084" spans="1:11" x14ac:dyDescent="0.25">
      <c r="A2084" s="560"/>
      <c r="B2084" s="561"/>
      <c r="C2084" s="564"/>
      <c r="D2084" s="576"/>
      <c r="E2084" s="561"/>
      <c r="F2084" s="564"/>
      <c r="G2084" s="581"/>
      <c r="H2084" s="581"/>
      <c r="I2084" s="581"/>
      <c r="J2084" s="567"/>
      <c r="K2084" s="568"/>
    </row>
    <row r="2085" spans="1:11" x14ac:dyDescent="0.25">
      <c r="A2085" s="951" t="s">
        <v>1113</v>
      </c>
      <c r="B2085" s="952" t="s">
        <v>833</v>
      </c>
      <c r="C2085" s="573">
        <v>2017</v>
      </c>
      <c r="D2085" s="572" t="s">
        <v>1236</v>
      </c>
      <c r="E2085" s="572">
        <v>2018</v>
      </c>
      <c r="F2085" s="913" t="s">
        <v>1236</v>
      </c>
      <c r="G2085" s="913" t="s">
        <v>4</v>
      </c>
      <c r="H2085" s="913">
        <v>2019</v>
      </c>
      <c r="I2085" s="913" t="s">
        <v>5</v>
      </c>
      <c r="J2085" s="567"/>
      <c r="K2085" s="568"/>
    </row>
    <row r="2086" spans="1:11" x14ac:dyDescent="0.25">
      <c r="A2086" s="575"/>
      <c r="B2086" s="576"/>
      <c r="C2086" s="573" t="s">
        <v>6</v>
      </c>
      <c r="D2086" s="574">
        <v>43069</v>
      </c>
      <c r="E2086" s="572" t="s">
        <v>6</v>
      </c>
      <c r="F2086" s="914">
        <v>43131</v>
      </c>
      <c r="G2086" s="914" t="s">
        <v>1131</v>
      </c>
      <c r="H2086" s="914" t="s">
        <v>6</v>
      </c>
      <c r="I2086" s="914" t="s">
        <v>7</v>
      </c>
      <c r="J2086" s="567"/>
      <c r="K2086" s="568"/>
    </row>
    <row r="2087" spans="1:11" s="569" customFormat="1" x14ac:dyDescent="0.25">
      <c r="A2087" s="575"/>
      <c r="B2087" s="576"/>
      <c r="C2087" s="578"/>
      <c r="D2087" s="577"/>
      <c r="E2087" s="576"/>
      <c r="F2087" s="564"/>
      <c r="G2087" s="581"/>
      <c r="H2087" s="581"/>
      <c r="I2087" s="581"/>
      <c r="J2087" s="567"/>
      <c r="K2087" s="568"/>
    </row>
    <row r="2088" spans="1:11" s="569" customFormat="1" x14ac:dyDescent="0.25">
      <c r="A2088" s="575">
        <v>40110</v>
      </c>
      <c r="B2088" s="576" t="s">
        <v>97</v>
      </c>
      <c r="C2088" s="564"/>
      <c r="D2088" s="564"/>
      <c r="E2088" s="564"/>
      <c r="F2088" s="564"/>
      <c r="G2088" s="564"/>
      <c r="H2088" s="564"/>
      <c r="I2088" s="564"/>
      <c r="J2088" s="567"/>
      <c r="K2088" s="568"/>
    </row>
    <row r="2089" spans="1:11" x14ac:dyDescent="0.25">
      <c r="A2089" s="575">
        <v>41410</v>
      </c>
      <c r="B2089" s="576" t="s">
        <v>478</v>
      </c>
      <c r="C2089" s="564"/>
      <c r="D2089" s="564"/>
      <c r="E2089" s="564"/>
      <c r="F2089" s="564"/>
      <c r="G2089" s="564"/>
      <c r="H2089" s="564"/>
      <c r="I2089" s="564"/>
      <c r="J2089" s="567"/>
      <c r="K2089" s="568"/>
    </row>
    <row r="2090" spans="1:11" x14ac:dyDescent="0.25">
      <c r="A2090" s="575">
        <v>41430</v>
      </c>
      <c r="B2090" s="576" t="s">
        <v>98</v>
      </c>
      <c r="C2090" s="564"/>
      <c r="D2090" s="564"/>
      <c r="E2090" s="564"/>
      <c r="F2090" s="564"/>
      <c r="G2090" s="564"/>
      <c r="H2090" s="564"/>
      <c r="I2090" s="564"/>
      <c r="J2090" s="567"/>
      <c r="K2090" s="568"/>
    </row>
    <row r="2091" spans="1:11" x14ac:dyDescent="0.25">
      <c r="A2091" s="575">
        <v>41440</v>
      </c>
      <c r="B2091" s="576" t="s">
        <v>100</v>
      </c>
      <c r="C2091" s="564"/>
      <c r="D2091" s="564"/>
      <c r="E2091" s="564"/>
      <c r="F2091" s="564"/>
      <c r="G2091" s="564"/>
      <c r="H2091" s="564"/>
      <c r="I2091" s="564"/>
      <c r="J2091" s="567"/>
      <c r="K2091" s="568"/>
    </row>
    <row r="2092" spans="1:11" x14ac:dyDescent="0.25">
      <c r="A2092" s="575">
        <v>41450</v>
      </c>
      <c r="B2092" s="576" t="s">
        <v>101</v>
      </c>
      <c r="C2092" s="564"/>
      <c r="D2092" s="564"/>
      <c r="E2092" s="564"/>
      <c r="F2092" s="564"/>
      <c r="G2092" s="564"/>
      <c r="H2092" s="564"/>
      <c r="I2092" s="564"/>
      <c r="J2092" s="567"/>
      <c r="K2092" s="568"/>
    </row>
    <row r="2093" spans="1:11" x14ac:dyDescent="0.25">
      <c r="A2093" s="575">
        <v>41470</v>
      </c>
      <c r="B2093" s="576" t="s">
        <v>102</v>
      </c>
      <c r="C2093" s="564"/>
      <c r="D2093" s="564"/>
      <c r="E2093" s="564"/>
      <c r="F2093" s="564"/>
      <c r="G2093" s="564"/>
      <c r="H2093" s="564"/>
      <c r="I2093" s="564"/>
      <c r="J2093" s="567"/>
      <c r="K2093" s="568"/>
    </row>
    <row r="2094" spans="1:11" x14ac:dyDescent="0.25">
      <c r="A2094" s="575">
        <v>69999</v>
      </c>
      <c r="B2094" s="582" t="s">
        <v>203</v>
      </c>
      <c r="C2094" s="564"/>
      <c r="D2094" s="564"/>
      <c r="E2094" s="564"/>
      <c r="F2094" s="564"/>
      <c r="G2094" s="564"/>
      <c r="H2094" s="564"/>
      <c r="I2094" s="564"/>
      <c r="J2094" s="567"/>
      <c r="K2094" s="568"/>
    </row>
    <row r="2095" spans="1:11" s="569" customFormat="1" x14ac:dyDescent="0.25">
      <c r="A2095" s="590"/>
      <c r="B2095" s="589" t="s">
        <v>242</v>
      </c>
      <c r="C2095" s="585"/>
      <c r="D2095" s="613"/>
      <c r="E2095" s="589"/>
      <c r="F2095" s="585"/>
      <c r="G2095" s="613"/>
      <c r="H2095" s="613"/>
      <c r="I2095" s="613"/>
    </row>
    <row r="2096" spans="1:11" s="569" customFormat="1" x14ac:dyDescent="0.25">
      <c r="A2096" s="590"/>
      <c r="B2096" s="583"/>
      <c r="C2096" s="564"/>
      <c r="D2096" s="576"/>
      <c r="E2096" s="583"/>
      <c r="F2096" s="564"/>
      <c r="G2096" s="581"/>
      <c r="H2096" s="581"/>
      <c r="I2096" s="581"/>
    </row>
    <row r="2097" spans="1:10" s="569" customFormat="1" x14ac:dyDescent="0.25">
      <c r="A2097" s="560"/>
      <c r="B2097" s="561"/>
      <c r="C2097" s="564"/>
      <c r="D2097" s="576"/>
      <c r="E2097" s="561"/>
      <c r="F2097" s="564"/>
      <c r="G2097" s="581"/>
      <c r="H2097" s="581"/>
      <c r="I2097" s="581"/>
    </row>
    <row r="2098" spans="1:10" s="569" customFormat="1" x14ac:dyDescent="0.25">
      <c r="A2098" s="603" t="s">
        <v>1114</v>
      </c>
      <c r="B2098" s="604" t="s">
        <v>713</v>
      </c>
      <c r="C2098" s="573">
        <v>2017</v>
      </c>
      <c r="D2098" s="572" t="s">
        <v>1236</v>
      </c>
      <c r="E2098" s="572">
        <v>2018</v>
      </c>
      <c r="F2098" s="913" t="s">
        <v>1236</v>
      </c>
      <c r="G2098" s="913" t="s">
        <v>4</v>
      </c>
      <c r="H2098" s="913">
        <v>2019</v>
      </c>
      <c r="I2098" s="913" t="s">
        <v>5</v>
      </c>
    </row>
    <row r="2099" spans="1:10" s="569" customFormat="1" x14ac:dyDescent="0.25">
      <c r="A2099" s="575"/>
      <c r="B2099" s="576"/>
      <c r="C2099" s="573" t="s">
        <v>6</v>
      </c>
      <c r="D2099" s="574">
        <v>43069</v>
      </c>
      <c r="E2099" s="572" t="s">
        <v>6</v>
      </c>
      <c r="F2099" s="914">
        <v>43131</v>
      </c>
      <c r="G2099" s="914" t="s">
        <v>1131</v>
      </c>
      <c r="H2099" s="914" t="s">
        <v>6</v>
      </c>
      <c r="I2099" s="914" t="s">
        <v>7</v>
      </c>
    </row>
    <row r="2100" spans="1:10" s="569" customFormat="1" x14ac:dyDescent="0.25">
      <c r="A2100" s="575"/>
      <c r="B2100" s="576"/>
      <c r="C2100" s="564"/>
      <c r="D2100" s="564"/>
      <c r="E2100" s="564"/>
      <c r="F2100" s="564"/>
      <c r="G2100" s="564"/>
      <c r="H2100" s="581"/>
      <c r="I2100" s="581"/>
      <c r="J2100" s="672"/>
    </row>
    <row r="2101" spans="1:10" s="569" customFormat="1" x14ac:dyDescent="0.25">
      <c r="A2101" s="590">
        <v>59999</v>
      </c>
      <c r="B2101" s="576" t="s">
        <v>834</v>
      </c>
      <c r="C2101" s="581">
        <v>1500</v>
      </c>
      <c r="D2101" s="581">
        <v>914</v>
      </c>
      <c r="E2101" s="901">
        <v>1500</v>
      </c>
      <c r="F2101" s="581"/>
      <c r="G2101" s="581">
        <v>1500</v>
      </c>
      <c r="H2101" s="581"/>
      <c r="I2101" s="581"/>
    </row>
    <row r="2102" spans="1:10" s="569" customFormat="1" x14ac:dyDescent="0.25">
      <c r="A2102" s="590">
        <v>60000</v>
      </c>
      <c r="B2102" s="576" t="s">
        <v>663</v>
      </c>
      <c r="C2102" s="581">
        <v>0</v>
      </c>
      <c r="D2102" s="581">
        <v>23.21</v>
      </c>
      <c r="E2102" s="901">
        <v>300</v>
      </c>
      <c r="F2102" s="581"/>
      <c r="G2102" s="581">
        <v>300</v>
      </c>
      <c r="H2102" s="581"/>
      <c r="I2102" s="581"/>
    </row>
    <row r="2103" spans="1:10" s="569" customFormat="1" x14ac:dyDescent="0.25">
      <c r="A2103" s="575">
        <v>69999</v>
      </c>
      <c r="B2103" s="576" t="s">
        <v>355</v>
      </c>
      <c r="C2103" s="581">
        <v>0</v>
      </c>
      <c r="D2103" s="581">
        <v>292.82</v>
      </c>
      <c r="E2103" s="901">
        <v>200</v>
      </c>
      <c r="F2103" s="581"/>
      <c r="G2103" s="581">
        <v>200</v>
      </c>
      <c r="H2103" s="581"/>
      <c r="I2103" s="581"/>
    </row>
    <row r="2104" spans="1:10" s="569" customFormat="1" x14ac:dyDescent="0.25">
      <c r="A2104" s="590"/>
      <c r="B2104" s="583" t="s">
        <v>242</v>
      </c>
      <c r="C2104" s="587">
        <f>SUM(C2101:C2103)</f>
        <v>1500</v>
      </c>
      <c r="D2104" s="587">
        <f t="shared" ref="D2104" si="293">SUM(D2101:D2103)</f>
        <v>1230.03</v>
      </c>
      <c r="E2104" s="972">
        <f>SUM(E2101:E2103)</f>
        <v>2000</v>
      </c>
      <c r="F2104" s="587">
        <f t="shared" ref="F2104:H2104" si="294">SUM(F2101:F2103)</f>
        <v>0</v>
      </c>
      <c r="G2104" s="587">
        <f>SUM(G2101:G2103)</f>
        <v>2000</v>
      </c>
      <c r="H2104" s="587">
        <f t="shared" si="294"/>
        <v>0</v>
      </c>
      <c r="I2104" s="587"/>
    </row>
    <row r="2105" spans="1:10" s="569" customFormat="1" x14ac:dyDescent="0.25">
      <c r="A2105" s="590"/>
      <c r="B2105" s="583"/>
      <c r="C2105" s="564"/>
      <c r="D2105" s="576"/>
      <c r="E2105" s="583"/>
      <c r="F2105" s="564"/>
      <c r="G2105" s="581"/>
      <c r="H2105" s="581"/>
      <c r="I2105" s="581"/>
    </row>
    <row r="2106" spans="1:10" s="569" customFormat="1" x14ac:dyDescent="0.25">
      <c r="A2106" s="560"/>
      <c r="B2106" s="561"/>
      <c r="C2106" s="564"/>
      <c r="D2106" s="576"/>
      <c r="E2106" s="561"/>
      <c r="F2106" s="564"/>
      <c r="G2106" s="581"/>
      <c r="H2106" s="581"/>
      <c r="I2106" s="581"/>
    </row>
    <row r="2107" spans="1:10" s="569" customFormat="1" x14ac:dyDescent="0.25">
      <c r="A2107" s="603" t="s">
        <v>1115</v>
      </c>
      <c r="B2107" s="604" t="s">
        <v>708</v>
      </c>
      <c r="C2107" s="573">
        <v>2017</v>
      </c>
      <c r="D2107" s="572" t="s">
        <v>1236</v>
      </c>
      <c r="E2107" s="572">
        <v>2018</v>
      </c>
      <c r="F2107" s="913" t="s">
        <v>1236</v>
      </c>
      <c r="G2107" s="913" t="s">
        <v>4</v>
      </c>
      <c r="H2107" s="913">
        <v>2019</v>
      </c>
      <c r="I2107" s="913" t="s">
        <v>5</v>
      </c>
    </row>
    <row r="2108" spans="1:10" s="569" customFormat="1" x14ac:dyDescent="0.25">
      <c r="A2108" s="560"/>
      <c r="B2108" s="576"/>
      <c r="C2108" s="573" t="s">
        <v>6</v>
      </c>
      <c r="D2108" s="574">
        <v>43069</v>
      </c>
      <c r="E2108" s="572" t="s">
        <v>6</v>
      </c>
      <c r="F2108" s="914">
        <v>43131</v>
      </c>
      <c r="G2108" s="914" t="s">
        <v>1131</v>
      </c>
      <c r="H2108" s="914" t="s">
        <v>6</v>
      </c>
      <c r="I2108" s="914" t="s">
        <v>7</v>
      </c>
    </row>
    <row r="2109" spans="1:10" s="569" customFormat="1" x14ac:dyDescent="0.25">
      <c r="A2109" s="590"/>
      <c r="B2109" s="583"/>
      <c r="C2109" s="564"/>
      <c r="D2109" s="564"/>
      <c r="E2109" s="564"/>
      <c r="F2109" s="564"/>
      <c r="G2109" s="564"/>
      <c r="H2109" s="564"/>
      <c r="I2109" s="564"/>
    </row>
    <row r="2110" spans="1:10" s="569" customFormat="1" x14ac:dyDescent="0.25">
      <c r="A2110" s="590">
        <v>69999</v>
      </c>
      <c r="B2110" s="576" t="s">
        <v>355</v>
      </c>
      <c r="C2110" s="564">
        <v>0.01</v>
      </c>
      <c r="D2110" s="564">
        <v>0</v>
      </c>
      <c r="E2110" s="564">
        <v>0</v>
      </c>
      <c r="F2110" s="564"/>
      <c r="G2110" s="564">
        <v>0.01</v>
      </c>
      <c r="H2110" s="564">
        <v>0.01</v>
      </c>
      <c r="I2110" s="564"/>
    </row>
    <row r="2111" spans="1:10" s="569" customFormat="1" x14ac:dyDescent="0.25">
      <c r="A2111" s="596"/>
      <c r="B2111" s="583" t="s">
        <v>242</v>
      </c>
      <c r="C2111" s="588">
        <f>SUM(C2110)</f>
        <v>0.01</v>
      </c>
      <c r="D2111" s="587">
        <f t="shared" ref="D2111" si="295">SUM(D2110)</f>
        <v>0</v>
      </c>
      <c r="E2111" s="583">
        <f>SUM(E2110)</f>
        <v>0</v>
      </c>
      <c r="F2111" s="588">
        <f t="shared" ref="F2111:H2111" si="296">SUM(F2110)</f>
        <v>0</v>
      </c>
      <c r="G2111" s="587">
        <f>SUM(G2110)</f>
        <v>0.01</v>
      </c>
      <c r="H2111" s="587">
        <f t="shared" si="296"/>
        <v>0.01</v>
      </c>
      <c r="I2111" s="587"/>
    </row>
    <row r="2112" spans="1:10" s="569" customFormat="1" x14ac:dyDescent="0.25">
      <c r="A2112" s="590"/>
      <c r="B2112" s="576"/>
      <c r="C2112" s="564"/>
      <c r="D2112" s="581"/>
      <c r="E2112" s="576"/>
      <c r="F2112" s="564"/>
      <c r="G2112" s="581"/>
      <c r="H2112" s="581"/>
      <c r="I2112" s="581"/>
    </row>
    <row r="2113" spans="1:11" s="569" customFormat="1" x14ac:dyDescent="0.25">
      <c r="A2113" s="560"/>
      <c r="B2113" s="561"/>
      <c r="C2113" s="910"/>
      <c r="D2113" s="909"/>
      <c r="E2113" s="561"/>
      <c r="F2113" s="614"/>
      <c r="G2113" s="614"/>
      <c r="H2113" s="614"/>
      <c r="I2113" s="614"/>
    </row>
    <row r="2114" spans="1:11" s="569" customFormat="1" x14ac:dyDescent="0.25">
      <c r="A2114" s="915" t="s">
        <v>1116</v>
      </c>
      <c r="B2114" s="918" t="s">
        <v>1068</v>
      </c>
      <c r="C2114" s="912">
        <v>2017</v>
      </c>
      <c r="D2114" s="913" t="s">
        <v>1236</v>
      </c>
      <c r="E2114" s="913">
        <v>2018</v>
      </c>
      <c r="F2114" s="913" t="s">
        <v>1236</v>
      </c>
      <c r="G2114" s="913" t="s">
        <v>4</v>
      </c>
      <c r="H2114" s="913">
        <v>2019</v>
      </c>
      <c r="I2114" s="913" t="s">
        <v>5</v>
      </c>
    </row>
    <row r="2115" spans="1:11" s="569" customFormat="1" x14ac:dyDescent="0.25">
      <c r="A2115" s="596"/>
      <c r="B2115" s="575" t="s">
        <v>93</v>
      </c>
      <c r="C2115" s="912" t="s">
        <v>6</v>
      </c>
      <c r="D2115" s="914">
        <v>43069</v>
      </c>
      <c r="E2115" s="913" t="s">
        <v>6</v>
      </c>
      <c r="F2115" s="914">
        <v>43131</v>
      </c>
      <c r="G2115" s="914" t="s">
        <v>1131</v>
      </c>
      <c r="H2115" s="914" t="s">
        <v>6</v>
      </c>
      <c r="I2115" s="914" t="s">
        <v>7</v>
      </c>
    </row>
    <row r="2116" spans="1:11" s="569" customFormat="1" x14ac:dyDescent="0.25">
      <c r="A2116" s="575">
        <v>40110</v>
      </c>
      <c r="B2116" s="576" t="s">
        <v>283</v>
      </c>
      <c r="C2116" s="614">
        <v>11350</v>
      </c>
      <c r="D2116" s="614">
        <f>9891.5+332.5+336+320</f>
        <v>10880</v>
      </c>
      <c r="E2116" s="973">
        <v>9075</v>
      </c>
      <c r="F2116" s="614"/>
      <c r="G2116" s="614">
        <v>9075</v>
      </c>
      <c r="H2116" s="921"/>
      <c r="I2116" s="921"/>
    </row>
    <row r="2117" spans="1:11" s="569" customFormat="1" x14ac:dyDescent="0.25">
      <c r="A2117" s="575">
        <v>41410</v>
      </c>
      <c r="B2117" s="576" t="s">
        <v>478</v>
      </c>
      <c r="C2117" s="614"/>
      <c r="D2117" s="614">
        <v>32.549999999999997</v>
      </c>
      <c r="E2117" s="973">
        <v>27</v>
      </c>
      <c r="F2117" s="614"/>
      <c r="G2117" s="614">
        <v>27</v>
      </c>
      <c r="H2117" s="614"/>
      <c r="I2117" s="614"/>
    </row>
    <row r="2118" spans="1:11" x14ac:dyDescent="0.25">
      <c r="A2118" s="575">
        <v>41430</v>
      </c>
      <c r="B2118" s="576" t="s">
        <v>98</v>
      </c>
      <c r="C2118" s="614"/>
      <c r="D2118" s="614">
        <v>0</v>
      </c>
      <c r="E2118" s="973">
        <v>0</v>
      </c>
      <c r="F2118" s="614"/>
      <c r="G2118" s="614">
        <v>0</v>
      </c>
      <c r="H2118" s="614"/>
      <c r="I2118" s="614"/>
      <c r="J2118" s="567"/>
      <c r="K2118" s="568"/>
    </row>
    <row r="2119" spans="1:11" ht="13.9" customHeight="1" x14ac:dyDescent="0.25">
      <c r="A2119" s="575">
        <v>41440</v>
      </c>
      <c r="B2119" s="576" t="s">
        <v>100</v>
      </c>
      <c r="C2119" s="614">
        <v>704</v>
      </c>
      <c r="D2119" s="614">
        <v>672.47</v>
      </c>
      <c r="E2119" s="973">
        <v>563</v>
      </c>
      <c r="F2119" s="614"/>
      <c r="G2119" s="614">
        <v>563</v>
      </c>
      <c r="H2119" s="614"/>
      <c r="I2119" s="614"/>
      <c r="J2119" s="569"/>
    </row>
    <row r="2120" spans="1:11" s="569" customFormat="1" x14ac:dyDescent="0.25">
      <c r="A2120" s="575">
        <v>41450</v>
      </c>
      <c r="B2120" s="576" t="s">
        <v>101</v>
      </c>
      <c r="C2120" s="614">
        <v>165</v>
      </c>
      <c r="D2120" s="614">
        <v>157.26</v>
      </c>
      <c r="E2120" s="973">
        <v>135</v>
      </c>
      <c r="F2120" s="614"/>
      <c r="G2120" s="614">
        <v>135</v>
      </c>
      <c r="H2120" s="614"/>
      <c r="I2120" s="614"/>
    </row>
    <row r="2121" spans="1:11" s="569" customFormat="1" x14ac:dyDescent="0.25">
      <c r="A2121" s="575">
        <v>41470</v>
      </c>
      <c r="B2121" s="576" t="s">
        <v>102</v>
      </c>
      <c r="C2121" s="614"/>
      <c r="D2121" s="614">
        <v>3.16</v>
      </c>
      <c r="E2121" s="973">
        <v>0</v>
      </c>
      <c r="F2121" s="614"/>
      <c r="G2121" s="614">
        <v>0</v>
      </c>
      <c r="H2121" s="614"/>
      <c r="I2121" s="614"/>
    </row>
    <row r="2122" spans="1:11" s="569" customFormat="1" x14ac:dyDescent="0.25">
      <c r="A2122" s="575">
        <v>54110</v>
      </c>
      <c r="B2122" s="576" t="s">
        <v>103</v>
      </c>
      <c r="C2122" s="614">
        <v>500</v>
      </c>
      <c r="D2122" s="614">
        <v>296.37</v>
      </c>
      <c r="E2122" s="973">
        <v>200</v>
      </c>
      <c r="F2122" s="614"/>
      <c r="G2122" s="614">
        <v>200</v>
      </c>
      <c r="H2122" s="921"/>
      <c r="I2122" s="921"/>
    </row>
    <row r="2123" spans="1:11" s="569" customFormat="1" x14ac:dyDescent="0.25">
      <c r="A2123" s="575">
        <v>54115</v>
      </c>
      <c r="B2123" s="576" t="s">
        <v>798</v>
      </c>
      <c r="C2123" s="614"/>
      <c r="D2123" s="614">
        <v>0</v>
      </c>
      <c r="E2123" s="973">
        <v>0</v>
      </c>
      <c r="F2123" s="614"/>
      <c r="G2123" s="614">
        <v>0</v>
      </c>
      <c r="H2123" s="614"/>
      <c r="I2123" s="614"/>
    </row>
    <row r="2124" spans="1:11" s="569" customFormat="1" x14ac:dyDescent="0.25">
      <c r="A2124" s="575">
        <v>59399</v>
      </c>
      <c r="B2124" s="576" t="s">
        <v>799</v>
      </c>
      <c r="C2124" s="614"/>
      <c r="D2124" s="614">
        <v>0</v>
      </c>
      <c r="E2124" s="973">
        <v>0</v>
      </c>
      <c r="F2124" s="614"/>
      <c r="G2124" s="614">
        <v>0</v>
      </c>
      <c r="H2124" s="614"/>
      <c r="I2124" s="614"/>
    </row>
    <row r="2125" spans="1:11" s="569" customFormat="1" x14ac:dyDescent="0.25">
      <c r="A2125" s="575">
        <v>60000</v>
      </c>
      <c r="B2125" s="576" t="s">
        <v>800</v>
      </c>
      <c r="C2125" s="614"/>
      <c r="D2125" s="614">
        <v>0</v>
      </c>
      <c r="E2125" s="973">
        <v>0</v>
      </c>
      <c r="F2125" s="614"/>
      <c r="G2125" s="614">
        <v>0</v>
      </c>
      <c r="H2125" s="614"/>
      <c r="I2125" s="614"/>
    </row>
    <row r="2126" spans="1:11" s="569" customFormat="1" x14ac:dyDescent="0.25">
      <c r="A2126" s="575">
        <v>61201</v>
      </c>
      <c r="B2126" s="576" t="s">
        <v>801</v>
      </c>
      <c r="C2126" s="614"/>
      <c r="D2126" s="614">
        <v>0</v>
      </c>
      <c r="E2126" s="973">
        <v>0</v>
      </c>
      <c r="F2126" s="614"/>
      <c r="G2126" s="614">
        <v>0</v>
      </c>
      <c r="H2126" s="614"/>
      <c r="I2126" s="614"/>
    </row>
    <row r="2127" spans="1:11" s="569" customFormat="1" x14ac:dyDescent="0.25">
      <c r="A2127" s="575">
        <v>62310</v>
      </c>
      <c r="B2127" s="576" t="s">
        <v>772</v>
      </c>
      <c r="C2127" s="614"/>
      <c r="D2127" s="614">
        <v>0</v>
      </c>
      <c r="E2127" s="973">
        <v>0</v>
      </c>
      <c r="F2127" s="614"/>
      <c r="G2127" s="614">
        <v>0</v>
      </c>
      <c r="H2127" s="921"/>
      <c r="I2127" s="921"/>
    </row>
    <row r="2128" spans="1:11" s="569" customFormat="1" x14ac:dyDescent="0.25">
      <c r="A2128" s="575">
        <v>62500</v>
      </c>
      <c r="B2128" s="576" t="s">
        <v>109</v>
      </c>
      <c r="C2128" s="614">
        <v>350</v>
      </c>
      <c r="D2128" s="614">
        <v>0</v>
      </c>
      <c r="E2128" s="973">
        <v>0</v>
      </c>
      <c r="F2128" s="614"/>
      <c r="G2128" s="614">
        <v>0</v>
      </c>
      <c r="H2128" s="614"/>
      <c r="I2128" s="614"/>
    </row>
    <row r="2129" spans="1:10" s="569" customFormat="1" x14ac:dyDescent="0.25">
      <c r="A2129" s="575">
        <v>62510</v>
      </c>
      <c r="B2129" s="576" t="s">
        <v>110</v>
      </c>
      <c r="C2129" s="614"/>
      <c r="D2129" s="614">
        <v>0</v>
      </c>
      <c r="E2129" s="973">
        <v>0</v>
      </c>
      <c r="F2129" s="614"/>
      <c r="G2129" s="614">
        <v>0</v>
      </c>
      <c r="H2129" s="614"/>
      <c r="I2129" s="614"/>
    </row>
    <row r="2130" spans="1:10" s="569" customFormat="1" x14ac:dyDescent="0.25">
      <c r="A2130" s="575">
        <v>62530</v>
      </c>
      <c r="B2130" s="576" t="s">
        <v>171</v>
      </c>
      <c r="C2130" s="614"/>
      <c r="D2130" s="614">
        <v>0</v>
      </c>
      <c r="E2130" s="973">
        <v>0</v>
      </c>
      <c r="F2130" s="614"/>
      <c r="G2130" s="614">
        <v>0</v>
      </c>
      <c r="H2130" s="614"/>
      <c r="I2130" s="614"/>
    </row>
    <row r="2131" spans="1:10" s="569" customFormat="1" x14ac:dyDescent="0.25">
      <c r="A2131" s="575">
        <v>62550</v>
      </c>
      <c r="B2131" s="576" t="s">
        <v>127</v>
      </c>
      <c r="C2131" s="614"/>
      <c r="D2131" s="614">
        <v>0</v>
      </c>
      <c r="E2131" s="973">
        <v>0</v>
      </c>
      <c r="F2131" s="614"/>
      <c r="G2131" s="614">
        <v>0</v>
      </c>
      <c r="H2131" s="614"/>
      <c r="I2131" s="614"/>
    </row>
    <row r="2132" spans="1:10" s="569" customFormat="1" x14ac:dyDescent="0.25">
      <c r="A2132" s="575">
        <v>63000</v>
      </c>
      <c r="B2132" s="576" t="s">
        <v>802</v>
      </c>
      <c r="C2132" s="614"/>
      <c r="D2132" s="614">
        <v>0</v>
      </c>
      <c r="E2132" s="973">
        <v>0</v>
      </c>
      <c r="F2132" s="614"/>
      <c r="G2132" s="614">
        <v>0</v>
      </c>
      <c r="H2132" s="614"/>
      <c r="I2132" s="614"/>
    </row>
    <row r="2133" spans="1:10" s="569" customFormat="1" x14ac:dyDescent="0.25">
      <c r="A2133" s="575">
        <v>65500</v>
      </c>
      <c r="B2133" s="576" t="s">
        <v>803</v>
      </c>
      <c r="C2133" s="614"/>
      <c r="D2133" s="614">
        <v>0</v>
      </c>
      <c r="E2133" s="973">
        <v>0</v>
      </c>
      <c r="F2133" s="614"/>
      <c r="G2133" s="614">
        <v>0</v>
      </c>
      <c r="H2133" s="614"/>
      <c r="I2133" s="614"/>
    </row>
    <row r="2134" spans="1:10" s="569" customFormat="1" x14ac:dyDescent="0.25">
      <c r="A2134" s="575">
        <v>65710</v>
      </c>
      <c r="B2134" s="576" t="s">
        <v>804</v>
      </c>
      <c r="C2134" s="614"/>
      <c r="D2134" s="614">
        <v>0</v>
      </c>
      <c r="E2134" s="973">
        <v>0</v>
      </c>
      <c r="F2134" s="614"/>
      <c r="G2134" s="614">
        <v>0</v>
      </c>
      <c r="H2134" s="614"/>
      <c r="I2134" s="614"/>
    </row>
    <row r="2135" spans="1:10" s="569" customFormat="1" x14ac:dyDescent="0.25">
      <c r="A2135" s="596"/>
      <c r="B2135" s="583" t="s">
        <v>242</v>
      </c>
      <c r="C2135" s="615">
        <f>SUM(C2116:C2134)</f>
        <v>13069</v>
      </c>
      <c r="D2135" s="615">
        <f t="shared" ref="D2135" si="297">SUM(D2116:D2134)</f>
        <v>12041.81</v>
      </c>
      <c r="E2135" s="972">
        <f>SUM(E2116:E2134)</f>
        <v>10000</v>
      </c>
      <c r="F2135" s="615">
        <f t="shared" ref="F2135:H2135" si="298">SUM(F2116:F2134)</f>
        <v>0</v>
      </c>
      <c r="G2135" s="980">
        <f>SUM(G2116:G2134)</f>
        <v>10000</v>
      </c>
      <c r="H2135" s="615">
        <f t="shared" si="298"/>
        <v>0</v>
      </c>
      <c r="I2135" s="615"/>
    </row>
    <row r="2136" spans="1:10" s="569" customFormat="1" x14ac:dyDescent="0.25">
      <c r="A2136" s="590"/>
      <c r="B2136" s="576"/>
      <c r="C2136" s="564"/>
      <c r="D2136" s="581"/>
      <c r="E2136" s="576"/>
      <c r="F2136" s="564"/>
      <c r="G2136" s="581"/>
      <c r="H2136" s="581"/>
      <c r="I2136" s="581"/>
    </row>
    <row r="2137" spans="1:10" s="569" customFormat="1" x14ac:dyDescent="0.25">
      <c r="A2137" s="687" t="s">
        <v>1225</v>
      </c>
      <c r="B2137" s="765" t="s">
        <v>1228</v>
      </c>
      <c r="C2137" s="677">
        <v>2017</v>
      </c>
      <c r="D2137" s="766" t="s">
        <v>1236</v>
      </c>
      <c r="E2137" s="765">
        <v>2018</v>
      </c>
      <c r="F2137" s="677" t="s">
        <v>1236</v>
      </c>
      <c r="G2137" s="766" t="s">
        <v>4</v>
      </c>
      <c r="H2137" s="677">
        <v>2019</v>
      </c>
      <c r="I2137" s="581"/>
    </row>
    <row r="2138" spans="1:10" s="569" customFormat="1" x14ac:dyDescent="0.25">
      <c r="A2138" s="945"/>
      <c r="B2138" s="945" t="s">
        <v>93</v>
      </c>
      <c r="C2138" s="783" t="s">
        <v>6</v>
      </c>
      <c r="D2138" s="678">
        <v>43069</v>
      </c>
      <c r="E2138" s="783" t="s">
        <v>6</v>
      </c>
      <c r="F2138" s="783" t="s">
        <v>1238</v>
      </c>
      <c r="G2138" s="783" t="s">
        <v>1131</v>
      </c>
      <c r="H2138" s="783" t="s">
        <v>1226</v>
      </c>
      <c r="I2138" s="941"/>
    </row>
    <row r="2139" spans="1:10" s="569" customFormat="1" x14ac:dyDescent="0.25">
      <c r="A2139" s="899">
        <v>65750</v>
      </c>
      <c r="B2139" s="900" t="s">
        <v>1227</v>
      </c>
      <c r="C2139" s="564"/>
      <c r="D2139" s="581">
        <v>5983.67</v>
      </c>
      <c r="E2139" s="901">
        <v>5150</v>
      </c>
      <c r="F2139" s="564"/>
      <c r="G2139" s="581">
        <v>5150</v>
      </c>
      <c r="H2139" s="581"/>
      <c r="I2139" s="581"/>
    </row>
    <row r="2140" spans="1:10" s="569" customFormat="1" x14ac:dyDescent="0.25">
      <c r="A2140" s="899">
        <v>54110</v>
      </c>
      <c r="B2140" s="900" t="s">
        <v>288</v>
      </c>
      <c r="C2140" s="564"/>
      <c r="D2140" s="581"/>
      <c r="E2140" s="901">
        <v>350</v>
      </c>
      <c r="F2140" s="564"/>
      <c r="G2140" s="581">
        <v>350</v>
      </c>
      <c r="H2140" s="581"/>
      <c r="I2140" s="581"/>
    </row>
    <row r="2141" spans="1:10" s="569" customFormat="1" x14ac:dyDescent="0.25">
      <c r="A2141" s="590"/>
      <c r="B2141" s="583" t="s">
        <v>242</v>
      </c>
      <c r="C2141" s="564"/>
      <c r="D2141" s="581"/>
      <c r="E2141" s="956">
        <f>SUM(E2139:E2140)</f>
        <v>5500</v>
      </c>
      <c r="F2141" s="588">
        <f>SUM(F2139:F2140)</f>
        <v>0</v>
      </c>
      <c r="G2141" s="566">
        <f>SUM(G2139:G2140)</f>
        <v>5500</v>
      </c>
      <c r="H2141" s="581"/>
      <c r="I2141" s="581"/>
    </row>
    <row r="2142" spans="1:10" s="569" customFormat="1" ht="13.9" customHeight="1" x14ac:dyDescent="0.25">
      <c r="A2142" s="590"/>
      <c r="B2142" s="576"/>
      <c r="C2142" s="564"/>
      <c r="D2142" s="581"/>
      <c r="E2142" s="900"/>
      <c r="F2142" s="564"/>
      <c r="G2142" s="581"/>
      <c r="H2142" s="581"/>
      <c r="I2142" s="581"/>
    </row>
    <row r="2143" spans="1:10" x14ac:dyDescent="0.25">
      <c r="A2143" s="560"/>
      <c r="B2143" s="561"/>
      <c r="C2143" s="910"/>
      <c r="D2143" s="909"/>
      <c r="E2143" s="561"/>
      <c r="F2143" s="614"/>
      <c r="G2143" s="614"/>
      <c r="H2143" s="614"/>
      <c r="I2143" s="614"/>
      <c r="J2143" s="569"/>
    </row>
    <row r="2144" spans="1:10" x14ac:dyDescent="0.25">
      <c r="A2144" s="915" t="s">
        <v>1124</v>
      </c>
      <c r="B2144" s="918" t="s">
        <v>1069</v>
      </c>
      <c r="C2144" s="912">
        <v>2017</v>
      </c>
      <c r="D2144" s="913" t="s">
        <v>1236</v>
      </c>
      <c r="E2144" s="913">
        <v>2018</v>
      </c>
      <c r="F2144" s="913" t="s">
        <v>1236</v>
      </c>
      <c r="G2144" s="913" t="s">
        <v>4</v>
      </c>
      <c r="H2144" s="913">
        <v>2019</v>
      </c>
      <c r="I2144" s="913" t="s">
        <v>5</v>
      </c>
      <c r="J2144" s="569"/>
    </row>
    <row r="2145" spans="1:10" x14ac:dyDescent="0.25">
      <c r="A2145" s="596"/>
      <c r="B2145" s="575" t="s">
        <v>93</v>
      </c>
      <c r="C2145" s="912" t="s">
        <v>6</v>
      </c>
      <c r="D2145" s="914">
        <v>43069</v>
      </c>
      <c r="E2145" s="913" t="s">
        <v>6</v>
      </c>
      <c r="F2145" s="914">
        <v>43131</v>
      </c>
      <c r="G2145" s="914" t="s">
        <v>1131</v>
      </c>
      <c r="H2145" s="914" t="s">
        <v>6</v>
      </c>
      <c r="I2145" s="914" t="s">
        <v>7</v>
      </c>
      <c r="J2145" s="569"/>
    </row>
    <row r="2146" spans="1:10" x14ac:dyDescent="0.25">
      <c r="A2146" s="575">
        <v>40110</v>
      </c>
      <c r="B2146" s="576" t="s">
        <v>283</v>
      </c>
      <c r="C2146" s="614">
        <v>4420</v>
      </c>
      <c r="D2146" s="614">
        <f>3303.5+113+745.5+51</f>
        <v>4213</v>
      </c>
      <c r="E2146" s="973">
        <v>5922</v>
      </c>
      <c r="F2146" s="614"/>
      <c r="G2146" s="614">
        <v>5922</v>
      </c>
      <c r="H2146" s="921"/>
      <c r="I2146" s="922"/>
      <c r="J2146" s="569"/>
    </row>
    <row r="2147" spans="1:10" x14ac:dyDescent="0.25">
      <c r="A2147" s="575">
        <v>41410</v>
      </c>
      <c r="B2147" s="576" t="s">
        <v>478</v>
      </c>
      <c r="C2147" s="614">
        <v>1326</v>
      </c>
      <c r="D2147" s="614">
        <v>10.84</v>
      </c>
      <c r="E2147" s="973">
        <v>18</v>
      </c>
      <c r="F2147" s="614"/>
      <c r="G2147" s="614">
        <v>18</v>
      </c>
      <c r="H2147" s="614"/>
      <c r="I2147" s="614"/>
      <c r="J2147" s="569"/>
    </row>
    <row r="2148" spans="1:10" x14ac:dyDescent="0.25">
      <c r="A2148" s="575">
        <v>41430</v>
      </c>
      <c r="B2148" s="576" t="s">
        <v>98</v>
      </c>
      <c r="C2148" s="614"/>
      <c r="D2148" s="614">
        <v>1096.4100000000001</v>
      </c>
      <c r="E2148" s="973">
        <v>1299</v>
      </c>
      <c r="F2148" s="614"/>
      <c r="G2148" s="614">
        <v>1299</v>
      </c>
      <c r="H2148" s="614"/>
      <c r="I2148" s="614"/>
      <c r="J2148" s="569"/>
    </row>
    <row r="2149" spans="1:10" x14ac:dyDescent="0.25">
      <c r="A2149" s="575">
        <v>41440</v>
      </c>
      <c r="B2149" s="576" t="s">
        <v>100</v>
      </c>
      <c r="C2149" s="614">
        <v>274</v>
      </c>
      <c r="D2149" s="614">
        <v>223.74</v>
      </c>
      <c r="E2149" s="973">
        <v>367</v>
      </c>
      <c r="F2149" s="614"/>
      <c r="G2149" s="614">
        <v>367</v>
      </c>
      <c r="H2149" s="614"/>
      <c r="I2149" s="614"/>
      <c r="J2149" s="569"/>
    </row>
    <row r="2150" spans="1:10" x14ac:dyDescent="0.25">
      <c r="A2150" s="575">
        <v>41450</v>
      </c>
      <c r="B2150" s="576" t="s">
        <v>101</v>
      </c>
      <c r="C2150" s="614">
        <v>64</v>
      </c>
      <c r="D2150" s="614">
        <v>52.34</v>
      </c>
      <c r="E2150" s="973">
        <v>86</v>
      </c>
      <c r="F2150" s="614"/>
      <c r="G2150" s="614">
        <v>86</v>
      </c>
      <c r="H2150" s="614"/>
      <c r="I2150" s="614"/>
      <c r="J2150" s="569"/>
    </row>
    <row r="2151" spans="1:10" x14ac:dyDescent="0.25">
      <c r="A2151" s="575">
        <v>41470</v>
      </c>
      <c r="B2151" s="576" t="s">
        <v>102</v>
      </c>
      <c r="C2151" s="614"/>
      <c r="D2151" s="614">
        <v>3.47</v>
      </c>
      <c r="E2151" s="973">
        <v>7</v>
      </c>
      <c r="F2151" s="614"/>
      <c r="G2151" s="614">
        <v>7</v>
      </c>
      <c r="H2151" s="614"/>
      <c r="I2151" s="614"/>
      <c r="J2151" s="569"/>
    </row>
    <row r="2152" spans="1:10" x14ac:dyDescent="0.25">
      <c r="A2152" s="575">
        <v>54110</v>
      </c>
      <c r="B2152" s="576" t="s">
        <v>103</v>
      </c>
      <c r="C2152" s="614">
        <v>704</v>
      </c>
      <c r="D2152" s="614">
        <v>0</v>
      </c>
      <c r="E2152" s="973">
        <v>1161</v>
      </c>
      <c r="F2152" s="614"/>
      <c r="G2152" s="614">
        <v>1161</v>
      </c>
      <c r="H2152" s="921"/>
      <c r="I2152" s="923"/>
      <c r="J2152" s="569"/>
    </row>
    <row r="2153" spans="1:10" x14ac:dyDescent="0.25">
      <c r="A2153" s="575">
        <v>54115</v>
      </c>
      <c r="B2153" s="576" t="s">
        <v>798</v>
      </c>
      <c r="C2153" s="614"/>
      <c r="D2153" s="614">
        <v>0</v>
      </c>
      <c r="E2153" s="973">
        <v>0</v>
      </c>
      <c r="F2153" s="614"/>
      <c r="G2153" s="614"/>
      <c r="H2153" s="614"/>
      <c r="I2153" s="614"/>
      <c r="J2153" s="569"/>
    </row>
    <row r="2154" spans="1:10" x14ac:dyDescent="0.25">
      <c r="A2154" s="575">
        <v>59399</v>
      </c>
      <c r="B2154" s="576" t="s">
        <v>799</v>
      </c>
      <c r="C2154" s="614"/>
      <c r="D2154" s="614">
        <v>132.25</v>
      </c>
      <c r="E2154" s="973">
        <v>0</v>
      </c>
      <c r="F2154" s="614"/>
      <c r="G2154" s="614">
        <v>0</v>
      </c>
      <c r="H2154" s="921"/>
      <c r="I2154" s="923"/>
      <c r="J2154" s="569"/>
    </row>
    <row r="2155" spans="1:10" x14ac:dyDescent="0.25">
      <c r="A2155" s="575">
        <v>60000</v>
      </c>
      <c r="B2155" s="576" t="s">
        <v>800</v>
      </c>
      <c r="C2155" s="614"/>
      <c r="D2155" s="614">
        <v>0</v>
      </c>
      <c r="E2155" s="973">
        <v>0</v>
      </c>
      <c r="F2155" s="614"/>
      <c r="G2155" s="614"/>
      <c r="H2155" s="614"/>
      <c r="I2155" s="614"/>
      <c r="J2155" s="569"/>
    </row>
    <row r="2156" spans="1:10" x14ac:dyDescent="0.25">
      <c r="A2156" s="575">
        <v>61201</v>
      </c>
      <c r="B2156" s="576" t="s">
        <v>801</v>
      </c>
      <c r="C2156" s="614"/>
      <c r="D2156" s="614">
        <v>0</v>
      </c>
      <c r="E2156" s="973">
        <v>0</v>
      </c>
      <c r="F2156" s="614"/>
      <c r="G2156" s="614"/>
      <c r="H2156" s="614"/>
      <c r="I2156" s="614"/>
      <c r="J2156" s="569"/>
    </row>
    <row r="2157" spans="1:10" x14ac:dyDescent="0.25">
      <c r="A2157" s="575">
        <v>62310</v>
      </c>
      <c r="B2157" s="576" t="s">
        <v>772</v>
      </c>
      <c r="C2157" s="614"/>
      <c r="D2157" s="614">
        <v>0</v>
      </c>
      <c r="E2157" s="973">
        <v>0</v>
      </c>
      <c r="F2157" s="614"/>
      <c r="G2157" s="614"/>
      <c r="H2157" s="614"/>
      <c r="I2157" s="614"/>
      <c r="J2157" s="569"/>
    </row>
    <row r="2158" spans="1:10" x14ac:dyDescent="0.25">
      <c r="A2158" s="575">
        <v>62500</v>
      </c>
      <c r="B2158" s="576" t="s">
        <v>109</v>
      </c>
      <c r="C2158" s="614">
        <v>750</v>
      </c>
      <c r="D2158" s="614">
        <v>44.93</v>
      </c>
      <c r="E2158" s="973">
        <v>200</v>
      </c>
      <c r="F2158" s="614"/>
      <c r="G2158" s="614">
        <v>200</v>
      </c>
      <c r="H2158" s="921"/>
      <c r="I2158" s="923"/>
      <c r="J2158" s="569"/>
    </row>
    <row r="2159" spans="1:10" x14ac:dyDescent="0.25">
      <c r="A2159" s="575">
        <v>62510</v>
      </c>
      <c r="B2159" s="576" t="s">
        <v>110</v>
      </c>
      <c r="C2159" s="614">
        <v>200</v>
      </c>
      <c r="D2159" s="614">
        <v>125.58</v>
      </c>
      <c r="E2159" s="973">
        <v>0</v>
      </c>
      <c r="F2159" s="614"/>
      <c r="G2159" s="614"/>
      <c r="H2159" s="614"/>
      <c r="I2159" s="614"/>
      <c r="J2159" s="569"/>
    </row>
    <row r="2160" spans="1:10" x14ac:dyDescent="0.25">
      <c r="A2160" s="575">
        <v>62530</v>
      </c>
      <c r="B2160" s="576" t="s">
        <v>171</v>
      </c>
      <c r="C2160" s="614">
        <v>300</v>
      </c>
      <c r="D2160" s="614">
        <v>0</v>
      </c>
      <c r="E2160" s="973">
        <v>0</v>
      </c>
      <c r="F2160" s="614"/>
      <c r="G2160" s="614"/>
      <c r="H2160" s="614"/>
      <c r="I2160" s="614"/>
      <c r="J2160" s="569"/>
    </row>
    <row r="2161" spans="1:11" x14ac:dyDescent="0.25">
      <c r="A2161" s="575">
        <v>62550</v>
      </c>
      <c r="B2161" s="576" t="s">
        <v>127</v>
      </c>
      <c r="C2161" s="614"/>
      <c r="D2161" s="614">
        <v>0</v>
      </c>
      <c r="E2161" s="973">
        <v>500</v>
      </c>
      <c r="F2161" s="614"/>
      <c r="G2161" s="614">
        <v>500</v>
      </c>
      <c r="H2161" s="921"/>
      <c r="I2161" s="923"/>
      <c r="J2161" s="569"/>
    </row>
    <row r="2162" spans="1:11" x14ac:dyDescent="0.25">
      <c r="A2162" s="575">
        <v>63000</v>
      </c>
      <c r="B2162" s="576" t="s">
        <v>802</v>
      </c>
      <c r="C2162" s="614"/>
      <c r="D2162" s="614">
        <v>0</v>
      </c>
      <c r="E2162" s="973">
        <v>0</v>
      </c>
      <c r="F2162" s="614"/>
      <c r="G2162" s="614"/>
      <c r="H2162" s="614"/>
      <c r="I2162" s="614"/>
      <c r="J2162" s="569"/>
    </row>
    <row r="2163" spans="1:11" x14ac:dyDescent="0.25">
      <c r="A2163" s="575">
        <v>65500</v>
      </c>
      <c r="B2163" s="576" t="s">
        <v>803</v>
      </c>
      <c r="C2163" s="614"/>
      <c r="D2163" s="614">
        <v>0</v>
      </c>
      <c r="E2163" s="973">
        <v>0</v>
      </c>
      <c r="F2163" s="614"/>
      <c r="G2163" s="614"/>
      <c r="H2163" s="614"/>
      <c r="I2163" s="614"/>
      <c r="J2163" s="569"/>
    </row>
    <row r="2164" spans="1:11" x14ac:dyDescent="0.25">
      <c r="A2164" s="575">
        <v>65710</v>
      </c>
      <c r="B2164" s="576" t="s">
        <v>804</v>
      </c>
      <c r="C2164" s="614"/>
      <c r="D2164" s="614">
        <v>0</v>
      </c>
      <c r="E2164" s="973">
        <v>0</v>
      </c>
      <c r="F2164" s="614"/>
      <c r="G2164" s="614"/>
      <c r="H2164" s="614"/>
      <c r="I2164" s="614"/>
      <c r="J2164" s="569"/>
    </row>
    <row r="2165" spans="1:11" x14ac:dyDescent="0.25">
      <c r="A2165" s="596"/>
      <c r="B2165" s="583" t="s">
        <v>242</v>
      </c>
      <c r="C2165" s="615">
        <f>SUM(C2146:C2164)</f>
        <v>8038</v>
      </c>
      <c r="D2165" s="615">
        <f t="shared" ref="D2165" si="299">SUM(D2146:D2164)</f>
        <v>5902.56</v>
      </c>
      <c r="E2165" s="972">
        <f>SUM(E2146:E2164)</f>
        <v>9560</v>
      </c>
      <c r="F2165" s="615">
        <f t="shared" ref="F2165:H2165" si="300">SUM(F2146:F2164)</f>
        <v>0</v>
      </c>
      <c r="G2165" s="980">
        <f>SUM(G2146:G2164)</f>
        <v>9560</v>
      </c>
      <c r="H2165" s="615">
        <f t="shared" si="300"/>
        <v>0</v>
      </c>
      <c r="I2165" s="615"/>
      <c r="J2165" s="569"/>
    </row>
    <row r="2166" spans="1:11" x14ac:dyDescent="0.25">
      <c r="A2166" s="596"/>
      <c r="B2166" s="583"/>
      <c r="C2166" s="615"/>
      <c r="D2166" s="615"/>
      <c r="E2166" s="587"/>
      <c r="F2166" s="615"/>
      <c r="G2166" s="615"/>
      <c r="H2166" s="615"/>
      <c r="I2166" s="615"/>
      <c r="J2166" s="569"/>
    </row>
    <row r="2167" spans="1:11" ht="13.9" customHeight="1" x14ac:dyDescent="0.25">
      <c r="A2167" s="596"/>
      <c r="B2167" s="583"/>
      <c r="C2167" s="615"/>
      <c r="D2167" s="615"/>
      <c r="E2167" s="587"/>
      <c r="F2167" s="615"/>
      <c r="G2167" s="615"/>
      <c r="H2167" s="615"/>
      <c r="I2167" s="615"/>
      <c r="J2167" s="569"/>
    </row>
    <row r="2168" spans="1:11" x14ac:dyDescent="0.25">
      <c r="A2168" s="687" t="s">
        <v>1224</v>
      </c>
      <c r="B2168" s="688" t="s">
        <v>1229</v>
      </c>
      <c r="C2168" s="783">
        <v>2017</v>
      </c>
      <c r="D2168" s="783" t="s">
        <v>1236</v>
      </c>
      <c r="E2168" s="677">
        <v>2018</v>
      </c>
      <c r="F2168" s="783" t="s">
        <v>1236</v>
      </c>
      <c r="G2168" s="783" t="s">
        <v>4</v>
      </c>
      <c r="H2168" s="783" t="s">
        <v>1239</v>
      </c>
      <c r="I2168" s="783" t="s">
        <v>5</v>
      </c>
      <c r="J2168" s="569"/>
    </row>
    <row r="2169" spans="1:11" x14ac:dyDescent="0.25">
      <c r="A2169" s="940"/>
      <c r="B2169" s="935" t="s">
        <v>93</v>
      </c>
      <c r="C2169" s="783" t="s">
        <v>6</v>
      </c>
      <c r="D2169" s="678">
        <v>43069</v>
      </c>
      <c r="E2169" s="766" t="s">
        <v>6</v>
      </c>
      <c r="F2169" s="783" t="s">
        <v>1238</v>
      </c>
      <c r="G2169" s="783" t="s">
        <v>1131</v>
      </c>
      <c r="H2169" s="783" t="s">
        <v>6</v>
      </c>
      <c r="I2169" s="783" t="s">
        <v>7</v>
      </c>
      <c r="J2169" s="569"/>
    </row>
    <row r="2170" spans="1:11" x14ac:dyDescent="0.25">
      <c r="A2170" s="899">
        <v>54110</v>
      </c>
      <c r="B2170" s="900" t="s">
        <v>288</v>
      </c>
      <c r="C2170" s="614"/>
      <c r="D2170" s="614"/>
      <c r="E2170" s="901">
        <v>300</v>
      </c>
      <c r="F2170" s="614"/>
      <c r="G2170" s="614">
        <v>300</v>
      </c>
      <c r="H2170" s="614"/>
      <c r="I2170" s="614"/>
      <c r="J2170" s="569"/>
    </row>
    <row r="2171" spans="1:11" x14ac:dyDescent="0.25">
      <c r="A2171" s="899">
        <v>62500</v>
      </c>
      <c r="B2171" s="900" t="s">
        <v>109</v>
      </c>
      <c r="C2171" s="614"/>
      <c r="D2171" s="614"/>
      <c r="E2171" s="901">
        <v>200</v>
      </c>
      <c r="F2171" s="614"/>
      <c r="G2171" s="614">
        <v>200</v>
      </c>
      <c r="H2171" s="614"/>
      <c r="I2171" s="614"/>
      <c r="J2171" s="569"/>
    </row>
    <row r="2172" spans="1:11" x14ac:dyDescent="0.25">
      <c r="A2172" s="899">
        <v>62510</v>
      </c>
      <c r="B2172" s="900" t="s">
        <v>110</v>
      </c>
      <c r="C2172" s="614"/>
      <c r="D2172" s="614"/>
      <c r="E2172" s="901">
        <v>200</v>
      </c>
      <c r="F2172" s="614"/>
      <c r="G2172" s="614">
        <v>200</v>
      </c>
      <c r="H2172" s="614"/>
      <c r="I2172" s="614"/>
      <c r="J2172" s="569"/>
    </row>
    <row r="2173" spans="1:11" x14ac:dyDescent="0.25">
      <c r="A2173" s="899">
        <v>62530</v>
      </c>
      <c r="B2173" s="900" t="s">
        <v>171</v>
      </c>
      <c r="C2173" s="614"/>
      <c r="D2173" s="614"/>
      <c r="E2173" s="901"/>
      <c r="F2173" s="614"/>
      <c r="G2173" s="614"/>
      <c r="H2173" s="614"/>
      <c r="I2173" s="614"/>
      <c r="J2173" s="569"/>
    </row>
    <row r="2174" spans="1:11" x14ac:dyDescent="0.25">
      <c r="A2174" s="596">
        <v>62550</v>
      </c>
      <c r="B2174" s="576" t="s">
        <v>184</v>
      </c>
      <c r="C2174" s="615"/>
      <c r="D2174" s="615"/>
      <c r="E2174" s="938">
        <v>300</v>
      </c>
      <c r="F2174" s="615"/>
      <c r="G2174" s="615">
        <v>300</v>
      </c>
      <c r="H2174" s="615"/>
      <c r="I2174" s="615"/>
      <c r="J2174" s="569"/>
    </row>
    <row r="2175" spans="1:11" x14ac:dyDescent="0.25">
      <c r="A2175" s="560"/>
      <c r="B2175" s="583" t="s">
        <v>242</v>
      </c>
      <c r="C2175" s="909"/>
      <c r="D2175" s="909"/>
      <c r="E2175" s="956">
        <f>SUM(E2170:E2174)</f>
        <v>1000</v>
      </c>
      <c r="F2175" s="614"/>
      <c r="G2175" s="981">
        <f>SUM(G2170:G2174)</f>
        <v>1000</v>
      </c>
      <c r="H2175" s="614"/>
      <c r="I2175" s="614"/>
      <c r="J2175" s="699"/>
      <c r="K2175" s="700"/>
    </row>
    <row r="2176" spans="1:11" x14ac:dyDescent="0.25">
      <c r="A2176" s="915" t="s">
        <v>1117</v>
      </c>
      <c r="B2176" s="918" t="s">
        <v>1066</v>
      </c>
      <c r="C2176" s="573">
        <v>2017</v>
      </c>
      <c r="D2176" s="572" t="s">
        <v>1236</v>
      </c>
      <c r="E2176" s="572">
        <v>2018</v>
      </c>
      <c r="F2176" s="913" t="s">
        <v>1236</v>
      </c>
      <c r="G2176" s="913" t="s">
        <v>4</v>
      </c>
      <c r="H2176" s="913">
        <v>2019</v>
      </c>
      <c r="I2176" s="913" t="s">
        <v>5</v>
      </c>
      <c r="J2176" s="699"/>
      <c r="K2176" s="700"/>
    </row>
    <row r="2177" spans="1:11" x14ac:dyDescent="0.25">
      <c r="A2177" s="560"/>
      <c r="B2177" s="576"/>
      <c r="C2177" s="573" t="s">
        <v>6</v>
      </c>
      <c r="D2177" s="574">
        <v>43069</v>
      </c>
      <c r="E2177" s="572" t="s">
        <v>6</v>
      </c>
      <c r="F2177" s="914">
        <v>43131</v>
      </c>
      <c r="G2177" s="914" t="s">
        <v>1131</v>
      </c>
      <c r="H2177" s="914" t="s">
        <v>6</v>
      </c>
      <c r="I2177" s="914" t="s">
        <v>7</v>
      </c>
      <c r="J2177" s="699"/>
      <c r="K2177" s="700"/>
    </row>
    <row r="2178" spans="1:11" x14ac:dyDescent="0.25">
      <c r="A2178" s="609">
        <v>40110</v>
      </c>
      <c r="B2178" s="924" t="s">
        <v>97</v>
      </c>
      <c r="C2178" s="614">
        <v>44582</v>
      </c>
      <c r="D2178" s="562">
        <f>31149.8+1722.53+874.66+1701.77</f>
        <v>35448.76</v>
      </c>
      <c r="E2178" s="902">
        <v>39600</v>
      </c>
      <c r="F2178" s="614"/>
      <c r="G2178" s="614">
        <v>39600</v>
      </c>
      <c r="H2178" s="921"/>
      <c r="I2178" s="921"/>
      <c r="J2178" s="699"/>
      <c r="K2178" s="700"/>
    </row>
    <row r="2179" spans="1:11" s="569" customFormat="1" x14ac:dyDescent="0.25">
      <c r="A2179" s="609">
        <v>41410</v>
      </c>
      <c r="B2179" s="924" t="s">
        <v>478</v>
      </c>
      <c r="C2179" s="562"/>
      <c r="D2179" s="562">
        <v>96.23</v>
      </c>
      <c r="E2179" s="902">
        <v>119</v>
      </c>
      <c r="F2179" s="562"/>
      <c r="G2179" s="562">
        <v>119</v>
      </c>
      <c r="H2179" s="614"/>
      <c r="I2179" s="614"/>
      <c r="J2179" s="699"/>
      <c r="K2179" s="700"/>
    </row>
    <row r="2180" spans="1:11" x14ac:dyDescent="0.25">
      <c r="A2180" s="609">
        <v>41430</v>
      </c>
      <c r="B2180" s="924" t="s">
        <v>98</v>
      </c>
      <c r="C2180" s="562"/>
      <c r="D2180" s="562">
        <v>3881.68</v>
      </c>
      <c r="E2180" s="902">
        <v>5338</v>
      </c>
      <c r="F2180" s="562"/>
      <c r="G2180" s="562">
        <v>5338</v>
      </c>
      <c r="H2180" s="614"/>
      <c r="I2180" s="614"/>
      <c r="J2180" s="699"/>
      <c r="K2180" s="700"/>
    </row>
    <row r="2181" spans="1:11" x14ac:dyDescent="0.25">
      <c r="A2181" s="609">
        <v>41435</v>
      </c>
      <c r="B2181" s="924" t="s">
        <v>1252</v>
      </c>
      <c r="C2181" s="562"/>
      <c r="D2181" s="562">
        <v>0</v>
      </c>
      <c r="E2181" s="902">
        <v>1200</v>
      </c>
      <c r="F2181" s="562"/>
      <c r="G2181" s="562">
        <v>1200</v>
      </c>
      <c r="H2181" s="614"/>
      <c r="I2181" s="614"/>
      <c r="J2181" s="699"/>
      <c r="K2181" s="700"/>
    </row>
    <row r="2182" spans="1:11" x14ac:dyDescent="0.25">
      <c r="A2182" s="609">
        <v>41440</v>
      </c>
      <c r="B2182" s="924" t="s">
        <v>100</v>
      </c>
      <c r="C2182" s="562">
        <v>2764</v>
      </c>
      <c r="D2182" s="562">
        <v>1988.82</v>
      </c>
      <c r="E2182" s="902">
        <v>2443</v>
      </c>
      <c r="F2182" s="562"/>
      <c r="G2182" s="562">
        <v>2443</v>
      </c>
      <c r="H2182" s="614"/>
      <c r="I2182" s="614"/>
      <c r="J2182" s="699"/>
      <c r="K2182" s="700"/>
    </row>
    <row r="2183" spans="1:11" x14ac:dyDescent="0.25">
      <c r="A2183" s="609">
        <v>41450</v>
      </c>
      <c r="B2183" s="924" t="s">
        <v>101</v>
      </c>
      <c r="C2183" s="562">
        <v>646</v>
      </c>
      <c r="D2183" s="562">
        <v>465.15</v>
      </c>
      <c r="E2183" s="902">
        <v>574</v>
      </c>
      <c r="F2183" s="562"/>
      <c r="G2183" s="562">
        <v>574</v>
      </c>
      <c r="H2183" s="614"/>
      <c r="I2183" s="614"/>
      <c r="J2183" s="699"/>
      <c r="K2183" s="700"/>
    </row>
    <row r="2184" spans="1:11" x14ac:dyDescent="0.25">
      <c r="A2184" s="609">
        <v>41470</v>
      </c>
      <c r="B2184" s="924" t="s">
        <v>102</v>
      </c>
      <c r="C2184" s="562">
        <v>37</v>
      </c>
      <c r="D2184" s="562">
        <v>23.48</v>
      </c>
      <c r="E2184" s="902">
        <v>28</v>
      </c>
      <c r="F2184" s="562"/>
      <c r="G2184" s="562">
        <v>28</v>
      </c>
      <c r="H2184" s="614"/>
      <c r="I2184" s="614"/>
      <c r="J2184" s="699"/>
      <c r="K2184" s="700"/>
    </row>
    <row r="2185" spans="1:11" x14ac:dyDescent="0.25">
      <c r="A2185" s="609">
        <v>54110</v>
      </c>
      <c r="B2185" s="924" t="s">
        <v>103</v>
      </c>
      <c r="C2185" s="614">
        <v>2400</v>
      </c>
      <c r="D2185" s="562">
        <v>5395.12</v>
      </c>
      <c r="E2185" s="902">
        <v>1800</v>
      </c>
      <c r="F2185" s="562"/>
      <c r="G2185" s="614">
        <v>1800</v>
      </c>
      <c r="H2185" s="921"/>
      <c r="I2185" s="921"/>
      <c r="J2185" s="699"/>
      <c r="K2185" s="700"/>
    </row>
    <row r="2186" spans="1:11" x14ac:dyDescent="0.25">
      <c r="A2186" s="609">
        <v>54115</v>
      </c>
      <c r="B2186" s="924" t="s">
        <v>757</v>
      </c>
      <c r="C2186" s="562"/>
      <c r="D2186" s="562">
        <v>0</v>
      </c>
      <c r="E2186" s="902">
        <v>0</v>
      </c>
      <c r="F2186" s="562"/>
      <c r="G2186" s="562">
        <v>0.01</v>
      </c>
      <c r="H2186" s="614"/>
      <c r="I2186" s="614"/>
      <c r="J2186" s="699"/>
      <c r="K2186" s="700"/>
    </row>
    <row r="2187" spans="1:11" x14ac:dyDescent="0.25">
      <c r="A2187" s="609">
        <v>54212</v>
      </c>
      <c r="B2187" s="924" t="s">
        <v>289</v>
      </c>
      <c r="C2187" s="562"/>
      <c r="D2187" s="562">
        <v>841.7</v>
      </c>
      <c r="E2187" s="902">
        <v>0</v>
      </c>
      <c r="F2187" s="562"/>
      <c r="G2187" s="562">
        <v>0.01</v>
      </c>
      <c r="H2187" s="614"/>
      <c r="I2187" s="614"/>
      <c r="J2187" s="699"/>
      <c r="K2187" s="700"/>
    </row>
    <row r="2188" spans="1:11" x14ac:dyDescent="0.25">
      <c r="A2188" s="609">
        <v>60000</v>
      </c>
      <c r="B2188" s="924" t="s">
        <v>663</v>
      </c>
      <c r="C2188" s="614">
        <v>3380</v>
      </c>
      <c r="D2188" s="562">
        <v>2375.04</v>
      </c>
      <c r="E2188" s="902">
        <v>1560</v>
      </c>
      <c r="F2188" s="562"/>
      <c r="G2188" s="614">
        <v>1560</v>
      </c>
      <c r="H2188" s="921"/>
      <c r="I2188" s="921"/>
      <c r="J2188" s="699"/>
      <c r="K2188" s="700"/>
    </row>
    <row r="2189" spans="1:11" x14ac:dyDescent="0.25">
      <c r="A2189" s="609">
        <v>61200</v>
      </c>
      <c r="B2189" s="924" t="s">
        <v>771</v>
      </c>
      <c r="C2189" s="562"/>
      <c r="D2189" s="562">
        <v>0</v>
      </c>
      <c r="E2189" s="902">
        <v>0</v>
      </c>
      <c r="F2189" s="562"/>
      <c r="G2189" s="562">
        <v>0.01</v>
      </c>
      <c r="H2189" s="614"/>
      <c r="I2189" s="614"/>
      <c r="J2189" s="699"/>
      <c r="K2189" s="700"/>
    </row>
    <row r="2190" spans="1:11" x14ac:dyDescent="0.25">
      <c r="A2190" s="609">
        <v>62310</v>
      </c>
      <c r="B2190" s="924" t="s">
        <v>772</v>
      </c>
      <c r="C2190" s="562"/>
      <c r="D2190" s="562">
        <v>61.89</v>
      </c>
      <c r="E2190" s="902">
        <v>0</v>
      </c>
      <c r="F2190" s="562"/>
      <c r="G2190" s="562">
        <v>0.01</v>
      </c>
      <c r="H2190" s="614"/>
      <c r="I2190" s="614"/>
      <c r="J2190" s="699"/>
      <c r="K2190" s="700"/>
    </row>
    <row r="2191" spans="1:11" x14ac:dyDescent="0.25">
      <c r="A2191" s="609">
        <v>62500</v>
      </c>
      <c r="B2191" s="924" t="s">
        <v>109</v>
      </c>
      <c r="C2191" s="614">
        <v>2009</v>
      </c>
      <c r="D2191" s="562">
        <v>4421.57</v>
      </c>
      <c r="E2191" s="902">
        <v>1728</v>
      </c>
      <c r="F2191" s="562"/>
      <c r="G2191" s="614">
        <v>1728</v>
      </c>
      <c r="H2191" s="921"/>
      <c r="I2191" s="921"/>
      <c r="J2191" s="567"/>
      <c r="K2191" s="568"/>
    </row>
    <row r="2192" spans="1:11" x14ac:dyDescent="0.25">
      <c r="A2192" s="609">
        <v>62510</v>
      </c>
      <c r="B2192" s="924" t="s">
        <v>110</v>
      </c>
      <c r="C2192" s="614">
        <v>1575</v>
      </c>
      <c r="D2192" s="562">
        <v>976.64</v>
      </c>
      <c r="E2192" s="902">
        <v>700</v>
      </c>
      <c r="F2192" s="562"/>
      <c r="G2192" s="614">
        <v>700</v>
      </c>
      <c r="H2192" s="921"/>
      <c r="I2192" s="921"/>
      <c r="J2192" s="567"/>
      <c r="K2192" s="568"/>
    </row>
    <row r="2193" spans="1:11" x14ac:dyDescent="0.25">
      <c r="A2193" s="609">
        <v>62530</v>
      </c>
      <c r="B2193" s="924" t="s">
        <v>171</v>
      </c>
      <c r="C2193" s="614">
        <v>4680</v>
      </c>
      <c r="D2193" s="562">
        <v>2715.35</v>
      </c>
      <c r="E2193" s="902">
        <v>2500</v>
      </c>
      <c r="F2193" s="562"/>
      <c r="G2193" s="614">
        <v>2500</v>
      </c>
      <c r="H2193" s="921"/>
      <c r="I2193" s="921"/>
      <c r="J2193" s="567"/>
      <c r="K2193" s="568"/>
    </row>
    <row r="2194" spans="1:11" x14ac:dyDescent="0.25">
      <c r="A2194" s="609">
        <v>62550</v>
      </c>
      <c r="B2194" s="924" t="s">
        <v>184</v>
      </c>
      <c r="C2194" s="614">
        <v>4411</v>
      </c>
      <c r="D2194" s="562">
        <v>6348.38</v>
      </c>
      <c r="E2194" s="902">
        <v>3832</v>
      </c>
      <c r="F2194" s="562"/>
      <c r="G2194" s="614">
        <v>3832</v>
      </c>
      <c r="H2194" s="921"/>
      <c r="I2194" s="921"/>
      <c r="J2194" s="567"/>
      <c r="K2194" s="568"/>
    </row>
    <row r="2195" spans="1:11" x14ac:dyDescent="0.25">
      <c r="A2195" s="609">
        <v>63000</v>
      </c>
      <c r="B2195" s="924" t="s">
        <v>142</v>
      </c>
      <c r="C2195" s="614">
        <v>12880</v>
      </c>
      <c r="D2195" s="562">
        <v>12110.36</v>
      </c>
      <c r="E2195" s="902">
        <v>13898</v>
      </c>
      <c r="F2195" s="562"/>
      <c r="G2195" s="614">
        <v>13898</v>
      </c>
      <c r="H2195" s="921"/>
      <c r="I2195" s="921"/>
      <c r="J2195" s="567"/>
      <c r="K2195" s="568"/>
    </row>
    <row r="2196" spans="1:11" x14ac:dyDescent="0.25">
      <c r="A2196" s="609">
        <v>63240</v>
      </c>
      <c r="B2196" s="924" t="s">
        <v>773</v>
      </c>
      <c r="C2196" s="562"/>
      <c r="D2196" s="562">
        <v>0</v>
      </c>
      <c r="E2196" s="902">
        <v>600</v>
      </c>
      <c r="F2196" s="562"/>
      <c r="G2196" s="562">
        <v>600</v>
      </c>
      <c r="H2196" s="614"/>
      <c r="I2196" s="614"/>
      <c r="J2196" s="567"/>
      <c r="K2196" s="568"/>
    </row>
    <row r="2197" spans="1:11" s="569" customFormat="1" x14ac:dyDescent="0.25">
      <c r="A2197" s="609">
        <v>63274</v>
      </c>
      <c r="B2197" s="924" t="s">
        <v>774</v>
      </c>
      <c r="C2197" s="562"/>
      <c r="D2197" s="562">
        <v>0</v>
      </c>
      <c r="E2197" s="902">
        <v>0</v>
      </c>
      <c r="F2197" s="562"/>
      <c r="G2197" s="562">
        <v>0.01</v>
      </c>
      <c r="H2197" s="614"/>
      <c r="I2197" s="614"/>
      <c r="J2197" s="567"/>
      <c r="K2197" s="568"/>
    </row>
    <row r="2198" spans="1:11" x14ac:dyDescent="0.25">
      <c r="A2198" s="609">
        <v>64900</v>
      </c>
      <c r="B2198" s="924" t="s">
        <v>775</v>
      </c>
      <c r="C2198" s="562"/>
      <c r="D2198" s="562">
        <v>0</v>
      </c>
      <c r="E2198" s="902">
        <v>0</v>
      </c>
      <c r="F2198" s="562"/>
      <c r="G2198" s="562">
        <v>0.01</v>
      </c>
      <c r="H2198" s="614"/>
      <c r="I2198" s="614"/>
    </row>
    <row r="2199" spans="1:11" x14ac:dyDescent="0.25">
      <c r="A2199" s="609">
        <v>65200</v>
      </c>
      <c r="B2199" s="924" t="s">
        <v>776</v>
      </c>
      <c r="C2199" s="614">
        <v>2283</v>
      </c>
      <c r="D2199" s="562">
        <v>90.77</v>
      </c>
      <c r="E2199" s="902">
        <v>1000</v>
      </c>
      <c r="F2199" s="562"/>
      <c r="G2199" s="614">
        <v>1000</v>
      </c>
      <c r="H2199" s="921"/>
      <c r="I2199" s="921"/>
    </row>
    <row r="2200" spans="1:11" x14ac:dyDescent="0.25">
      <c r="A2200" s="609">
        <v>65300</v>
      </c>
      <c r="B2200" s="924" t="s">
        <v>777</v>
      </c>
      <c r="C2200" s="562"/>
      <c r="D2200" s="562">
        <v>0</v>
      </c>
      <c r="E2200" s="902">
        <v>710</v>
      </c>
      <c r="F2200" s="562"/>
      <c r="G2200" s="562">
        <v>710</v>
      </c>
      <c r="H2200" s="614"/>
      <c r="I2200" s="614"/>
      <c r="J2200" s="776"/>
    </row>
    <row r="2201" spans="1:11" x14ac:dyDescent="0.25">
      <c r="A2201" s="609">
        <v>65400</v>
      </c>
      <c r="B2201" s="924" t="s">
        <v>152</v>
      </c>
      <c r="C2201" s="562"/>
      <c r="D2201" s="562">
        <v>0</v>
      </c>
      <c r="E2201" s="902">
        <v>0</v>
      </c>
      <c r="F2201" s="562"/>
      <c r="G2201" s="562">
        <v>0.01</v>
      </c>
      <c r="H2201" s="614"/>
      <c r="I2201" s="614"/>
      <c r="J2201" s="776"/>
    </row>
    <row r="2202" spans="1:11" x14ac:dyDescent="0.25">
      <c r="A2202" s="609">
        <v>65500</v>
      </c>
      <c r="B2202" s="924" t="s">
        <v>778</v>
      </c>
      <c r="C2202" s="614">
        <v>1800</v>
      </c>
      <c r="D2202" s="562">
        <v>1716.86</v>
      </c>
      <c r="E2202" s="902">
        <v>1800</v>
      </c>
      <c r="F2202" s="562"/>
      <c r="G2202" s="614">
        <v>1800</v>
      </c>
      <c r="H2202" s="921"/>
      <c r="I2202" s="921"/>
      <c r="J2202" s="776"/>
    </row>
    <row r="2203" spans="1:11" x14ac:dyDescent="0.25">
      <c r="A2203" s="609">
        <v>65700</v>
      </c>
      <c r="B2203" s="924" t="s">
        <v>153</v>
      </c>
      <c r="C2203" s="562"/>
      <c r="D2203" s="562">
        <v>185</v>
      </c>
      <c r="E2203" s="902">
        <v>570</v>
      </c>
      <c r="F2203" s="562"/>
      <c r="G2203" s="562">
        <v>570</v>
      </c>
      <c r="H2203" s="614"/>
      <c r="I2203" s="614"/>
      <c r="J2203" s="776"/>
    </row>
    <row r="2204" spans="1:11" x14ac:dyDescent="0.25">
      <c r="A2204" s="609">
        <v>69999</v>
      </c>
      <c r="B2204" s="924" t="s">
        <v>779</v>
      </c>
      <c r="C2204" s="562"/>
      <c r="D2204" s="562">
        <v>0</v>
      </c>
      <c r="E2204" s="902">
        <v>0</v>
      </c>
      <c r="F2204" s="562"/>
      <c r="G2204" s="562">
        <v>0.01</v>
      </c>
      <c r="H2204" s="614"/>
      <c r="I2204" s="614"/>
      <c r="J2204" s="776"/>
    </row>
    <row r="2205" spans="1:11" x14ac:dyDescent="0.25">
      <c r="A2205" s="911"/>
      <c r="B2205" s="587" t="s">
        <v>242</v>
      </c>
      <c r="C2205" s="584">
        <f>SUM(C2178:C2204)</f>
        <v>83447</v>
      </c>
      <c r="D2205" s="584">
        <f t="shared" ref="D2205" si="301">SUM(D2178:D2204)</f>
        <v>79142.800000000017</v>
      </c>
      <c r="E2205" s="972">
        <f>SUM(E2178:E2204)</f>
        <v>80000</v>
      </c>
      <c r="F2205" s="584">
        <f t="shared" ref="F2205:H2205" si="302">SUM(F2178:F2204)</f>
        <v>0</v>
      </c>
      <c r="G2205" s="708">
        <f>SUM(G2178:G2204)</f>
        <v>80000.079999999987</v>
      </c>
      <c r="H2205" s="584">
        <f t="shared" si="302"/>
        <v>0</v>
      </c>
      <c r="I2205" s="584"/>
      <c r="J2205" s="776"/>
    </row>
    <row r="2206" spans="1:11" x14ac:dyDescent="0.25">
      <c r="A2206" s="560"/>
      <c r="B2206" s="561"/>
      <c r="C2206" s="910"/>
      <c r="D2206" s="925" t="s">
        <v>1064</v>
      </c>
      <c r="E2206" s="561"/>
      <c r="F2206" s="614"/>
      <c r="G2206" s="614"/>
      <c r="H2206" s="614"/>
      <c r="I2206" s="614"/>
      <c r="J2206" s="776"/>
    </row>
    <row r="2207" spans="1:11" x14ac:dyDescent="0.25">
      <c r="A2207" s="915" t="s">
        <v>1162</v>
      </c>
      <c r="B2207" s="918" t="s">
        <v>1118</v>
      </c>
      <c r="C2207" s="912">
        <v>2017</v>
      </c>
      <c r="D2207" s="913" t="s">
        <v>1236</v>
      </c>
      <c r="E2207" s="913">
        <v>2018</v>
      </c>
      <c r="F2207" s="913" t="s">
        <v>1236</v>
      </c>
      <c r="G2207" s="913" t="s">
        <v>4</v>
      </c>
      <c r="H2207" s="913">
        <v>2019</v>
      </c>
      <c r="I2207" s="913" t="s">
        <v>5</v>
      </c>
      <c r="J2207" s="776"/>
    </row>
    <row r="2208" spans="1:11" x14ac:dyDescent="0.25">
      <c r="A2208" s="590"/>
      <c r="B2208" s="576" t="s">
        <v>93</v>
      </c>
      <c r="C2208" s="912" t="s">
        <v>6</v>
      </c>
      <c r="D2208" s="914">
        <v>43069</v>
      </c>
      <c r="E2208" s="913" t="s">
        <v>6</v>
      </c>
      <c r="F2208" s="914">
        <v>43131</v>
      </c>
      <c r="G2208" s="914" t="s">
        <v>1131</v>
      </c>
      <c r="H2208" s="914" t="s">
        <v>6</v>
      </c>
      <c r="I2208" s="914" t="s">
        <v>7</v>
      </c>
      <c r="J2208" s="776"/>
    </row>
    <row r="2209" spans="1:10" x14ac:dyDescent="0.25">
      <c r="A2209" s="927">
        <v>54110</v>
      </c>
      <c r="B2209" s="927" t="s">
        <v>1158</v>
      </c>
      <c r="C2209" s="562">
        <v>250</v>
      </c>
      <c r="D2209" s="562">
        <v>0</v>
      </c>
      <c r="E2209" s="902">
        <v>0</v>
      </c>
      <c r="F2209" s="562"/>
      <c r="G2209" s="562">
        <v>0</v>
      </c>
      <c r="H2209" s="562"/>
      <c r="I2209" s="562"/>
      <c r="J2209" s="776"/>
    </row>
    <row r="2210" spans="1:10" x14ac:dyDescent="0.25">
      <c r="A2210" s="927">
        <v>62500</v>
      </c>
      <c r="B2210" s="927" t="s">
        <v>1169</v>
      </c>
      <c r="C2210" s="562">
        <v>600</v>
      </c>
      <c r="D2210" s="562">
        <v>40.799999999999997</v>
      </c>
      <c r="E2210" s="902">
        <v>64</v>
      </c>
      <c r="F2210" s="562"/>
      <c r="G2210" s="562">
        <v>64</v>
      </c>
      <c r="H2210" s="562"/>
      <c r="I2210" s="562"/>
    </row>
    <row r="2211" spans="1:10" x14ac:dyDescent="0.25">
      <c r="A2211" s="927">
        <v>62510</v>
      </c>
      <c r="B2211" s="927" t="s">
        <v>1170</v>
      </c>
      <c r="C2211" s="562">
        <v>0</v>
      </c>
      <c r="D2211" s="562">
        <v>56.33</v>
      </c>
      <c r="E2211" s="902">
        <v>50</v>
      </c>
      <c r="F2211" s="562"/>
      <c r="G2211" s="562">
        <v>50</v>
      </c>
      <c r="H2211" s="562"/>
      <c r="I2211" s="562"/>
    </row>
    <row r="2212" spans="1:10" x14ac:dyDescent="0.25">
      <c r="A2212" s="927">
        <v>62550</v>
      </c>
      <c r="B2212" s="927" t="s">
        <v>184</v>
      </c>
      <c r="C2212" s="562">
        <v>0</v>
      </c>
      <c r="D2212" s="562">
        <v>0</v>
      </c>
      <c r="E2212" s="902">
        <v>0</v>
      </c>
      <c r="F2212" s="562"/>
      <c r="G2212" s="562">
        <v>0</v>
      </c>
      <c r="H2212" s="562"/>
      <c r="I2212" s="562"/>
    </row>
    <row r="2213" spans="1:10" x14ac:dyDescent="0.25">
      <c r="A2213" s="927">
        <v>70005</v>
      </c>
      <c r="B2213" s="927" t="s">
        <v>1154</v>
      </c>
      <c r="C2213" s="562">
        <v>3750</v>
      </c>
      <c r="D2213" s="562">
        <v>0</v>
      </c>
      <c r="E2213" s="902"/>
      <c r="F2213" s="562"/>
      <c r="G2213" s="562"/>
      <c r="H2213" s="562"/>
      <c r="I2213" s="562"/>
    </row>
    <row r="2214" spans="1:10" x14ac:dyDescent="0.25">
      <c r="A2214" s="575"/>
      <c r="B2214" s="583" t="s">
        <v>242</v>
      </c>
      <c r="C2214" s="587">
        <f>SUM(C2209:C2213)</f>
        <v>4600</v>
      </c>
      <c r="D2214" s="581">
        <f>SUM(D2209:D2213)</f>
        <v>97.13</v>
      </c>
      <c r="E2214" s="972">
        <f>SUM(E2209:E2213)</f>
        <v>114</v>
      </c>
      <c r="F2214" s="588">
        <f>SUM(F2209:F2212)</f>
        <v>0</v>
      </c>
      <c r="G2214" s="698">
        <f>SUM(G2209:G2212)</f>
        <v>114</v>
      </c>
      <c r="H2214" s="581">
        <f>SUM(H2209:H2212)</f>
        <v>0</v>
      </c>
      <c r="I2214" s="581"/>
    </row>
    <row r="2215" spans="1:10" x14ac:dyDescent="0.25">
      <c r="A2215" s="920"/>
      <c r="B2215" s="917" t="s">
        <v>93</v>
      </c>
      <c r="C2215" s="912">
        <v>2017</v>
      </c>
      <c r="D2215" s="913" t="s">
        <v>1236</v>
      </c>
      <c r="E2215" s="913">
        <v>2018</v>
      </c>
      <c r="F2215" s="913" t="s">
        <v>1236</v>
      </c>
      <c r="G2215" s="913" t="s">
        <v>4</v>
      </c>
      <c r="H2215" s="913">
        <v>2019</v>
      </c>
      <c r="I2215" s="913" t="s">
        <v>5</v>
      </c>
    </row>
    <row r="2216" spans="1:10" x14ac:dyDescent="0.25">
      <c r="A2216" s="590"/>
      <c r="B2216" s="576"/>
      <c r="C2216" s="912" t="s">
        <v>6</v>
      </c>
      <c r="D2216" s="914">
        <v>43069</v>
      </c>
      <c r="E2216" s="913" t="s">
        <v>6</v>
      </c>
      <c r="F2216" s="914">
        <v>43131</v>
      </c>
      <c r="G2216" s="914" t="s">
        <v>1131</v>
      </c>
      <c r="H2216" s="914" t="s">
        <v>6</v>
      </c>
      <c r="I2216" s="914" t="s">
        <v>7</v>
      </c>
    </row>
    <row r="2217" spans="1:10" x14ac:dyDescent="0.25">
      <c r="A2217" s="575"/>
      <c r="B2217" s="583"/>
      <c r="C2217" s="564"/>
      <c r="D2217" s="576"/>
      <c r="E2217" s="583"/>
      <c r="F2217" s="564"/>
      <c r="G2217" s="581"/>
      <c r="H2217" s="581"/>
      <c r="I2217" s="581"/>
    </row>
    <row r="2218" spans="1:10" x14ac:dyDescent="0.25">
      <c r="A2218" s="575"/>
      <c r="B2218" s="579" t="s">
        <v>835</v>
      </c>
      <c r="C2218" s="566">
        <f t="shared" ref="C2218:H2218" si="303">C1615+C1630+C1641+C1653+C1683+C1707+C1722+C1734</f>
        <v>215152</v>
      </c>
      <c r="D2218" s="566">
        <f t="shared" si="303"/>
        <v>179053.22</v>
      </c>
      <c r="E2218" s="579">
        <f t="shared" si="303"/>
        <v>218122</v>
      </c>
      <c r="F2218" s="566">
        <f t="shared" si="303"/>
        <v>0</v>
      </c>
      <c r="G2218" s="566">
        <f t="shared" si="303"/>
        <v>218122</v>
      </c>
      <c r="H2218" s="566">
        <f t="shared" si="303"/>
        <v>0</v>
      </c>
      <c r="I2218" s="566"/>
    </row>
    <row r="2219" spans="1:10" x14ac:dyDescent="0.25">
      <c r="A2219" s="575"/>
      <c r="B2219" s="561" t="s">
        <v>836</v>
      </c>
      <c r="C2219" s="566">
        <f>C1767+C1799+C1816+C1838+C1847+C1871+C1893+C1917+C1935+C1946+C1960+C1977+C1999+C2012+C2021+C2038+C2063+C2082+C2095+C2104+C2111+C2135+C2165+C2205+C2214</f>
        <v>400169.01</v>
      </c>
      <c r="D2219" s="579">
        <f>D1767+D1799+D1816+D1838+D1847+D1871+D1893+D1917+D1935+D1946+D1960+D1977+D1999+D2012+D2021+D2038+D2063+D2082+D2095+D2104+D2111+D2135+D2165+D2205+D2214</f>
        <v>307742.93</v>
      </c>
      <c r="E2219" s="566">
        <f>E1767+E1799+E1816+E1838+E1847+E1871+E1893+E1917+E1935+E1946+E1960+E1977+E1999+E2012+E2021+E2038+E2063+E2082+E2095+E2104+E2111+E2135+E2141+E2165+E2175+E2205+E2214</f>
        <v>375924</v>
      </c>
      <c r="F2219" s="566">
        <f>F1767+F1799+F1816+F1838+F1847+F1871+F1893+F1917+F1935+F1946+F1960+F1977+F1999+F2012+F2021+F2038+F2063+F2082+F2095+F2104+F2111+F2135+F2165+F2205+F2214+F2141</f>
        <v>0</v>
      </c>
      <c r="G2219" s="566">
        <f>G1767+G1799+G1816+G1838+G1847+G1871+G1893+G1917+G1935+G1946+G1960+G1977+G1999+G2012+G2021+G2038+G2063+G2082+G2095+G2104+G2111+G2135+G2141+G2165+G2175+G2205+G2214</f>
        <v>375924.08999999997</v>
      </c>
      <c r="H2219" s="579">
        <f>H1767+H1799+H1816+H1838+H1847+H1871+H1893+H1917+H1935+H1946+H1960+H1977+H1999+H2012+H2021+H2038+H2063+H2082+H2095+H2104+H2111+H2135+H2165+H2205+H2214</f>
        <v>0.01</v>
      </c>
      <c r="I2219" s="579"/>
    </row>
    <row r="2220" spans="1:10" x14ac:dyDescent="0.25">
      <c r="A2220" s="575"/>
      <c r="B2220" s="561" t="s">
        <v>837</v>
      </c>
      <c r="C2220" s="566">
        <f>SUM(C2218:C2219)</f>
        <v>615321.01</v>
      </c>
      <c r="D2220" s="566">
        <f t="shared" ref="D2220" si="304">SUM(D2218:D2219)</f>
        <v>486796.15</v>
      </c>
      <c r="E2220" s="566">
        <f>SUM(E2218:E2219)</f>
        <v>594046</v>
      </c>
      <c r="F2220" s="566">
        <f t="shared" ref="F2220" si="305">SUM(F2218:F2219)</f>
        <v>0</v>
      </c>
      <c r="G2220" s="566">
        <f>SUM(G2218:G2219)</f>
        <v>594046.09</v>
      </c>
      <c r="H2220" s="566">
        <f t="shared" ref="H2220" si="306">SUM(H2218:H2219)</f>
        <v>0.01</v>
      </c>
      <c r="I2220" s="566"/>
    </row>
    <row r="2221" spans="1:10" x14ac:dyDescent="0.25">
      <c r="A2221" s="575"/>
      <c r="B2221" s="561"/>
      <c r="C2221" s="564"/>
      <c r="D2221" s="576"/>
      <c r="E2221" s="561"/>
      <c r="F2221" s="564"/>
      <c r="G2221" s="581"/>
      <c r="H2221" s="581"/>
      <c r="I2221" s="581"/>
    </row>
    <row r="2222" spans="1:10" x14ac:dyDescent="0.25">
      <c r="A2222" s="592" t="s">
        <v>1119</v>
      </c>
      <c r="B2222" s="604" t="s">
        <v>838</v>
      </c>
      <c r="C2222" s="573">
        <v>2017</v>
      </c>
      <c r="D2222" s="572" t="s">
        <v>3</v>
      </c>
      <c r="E2222" s="572">
        <v>2018</v>
      </c>
      <c r="F2222" s="913" t="s">
        <v>3</v>
      </c>
      <c r="G2222" s="913" t="s">
        <v>4</v>
      </c>
      <c r="H2222" s="913">
        <v>2018</v>
      </c>
      <c r="I2222" s="913" t="s">
        <v>5</v>
      </c>
    </row>
    <row r="2223" spans="1:10" x14ac:dyDescent="0.25">
      <c r="A2223" s="575"/>
      <c r="B2223" s="576" t="s">
        <v>839</v>
      </c>
      <c r="C2223" s="573" t="s">
        <v>6</v>
      </c>
      <c r="D2223" s="574">
        <v>42735</v>
      </c>
      <c r="E2223" s="572" t="s">
        <v>6</v>
      </c>
      <c r="F2223" s="914">
        <v>43131</v>
      </c>
      <c r="G2223" s="914" t="s">
        <v>934</v>
      </c>
      <c r="H2223" s="914" t="s">
        <v>6</v>
      </c>
      <c r="I2223" s="914" t="s">
        <v>7</v>
      </c>
    </row>
    <row r="2224" spans="1:10" x14ac:dyDescent="0.25">
      <c r="A2224" s="575"/>
      <c r="B2224" s="576"/>
      <c r="C2224" s="578"/>
      <c r="D2224" s="593"/>
      <c r="E2224" s="900"/>
      <c r="F2224" s="564"/>
      <c r="G2224" s="581"/>
      <c r="H2224" s="581"/>
      <c r="I2224" s="581"/>
    </row>
    <row r="2225" spans="1:9" x14ac:dyDescent="0.25">
      <c r="A2225" s="575">
        <v>69425</v>
      </c>
      <c r="B2225" s="576" t="s">
        <v>299</v>
      </c>
      <c r="C2225" s="582">
        <v>0</v>
      </c>
      <c r="D2225" s="582"/>
      <c r="E2225" s="900"/>
      <c r="F2225" s="582"/>
      <c r="G2225" s="582">
        <v>0</v>
      </c>
      <c r="H2225" s="581"/>
      <c r="I2225" s="581"/>
    </row>
    <row r="2226" spans="1:9" x14ac:dyDescent="0.25">
      <c r="A2226" s="575">
        <v>90000</v>
      </c>
      <c r="B2226" s="576" t="s">
        <v>840</v>
      </c>
      <c r="C2226" s="582">
        <v>0</v>
      </c>
      <c r="D2226" s="564"/>
      <c r="E2226" s="900"/>
      <c r="F2226" s="582"/>
      <c r="G2226" s="582">
        <v>0</v>
      </c>
      <c r="H2226" s="581"/>
      <c r="I2226" s="581"/>
    </row>
    <row r="2227" spans="1:9" x14ac:dyDescent="0.25">
      <c r="A2227" s="598"/>
      <c r="B2227" s="583" t="s">
        <v>242</v>
      </c>
      <c r="C2227" s="589">
        <f t="shared" ref="C2227" si="307">SUM(C2225:C2226)</f>
        <v>0</v>
      </c>
      <c r="D2227" s="589"/>
      <c r="E2227" s="938"/>
      <c r="F2227" s="589"/>
      <c r="G2227" s="589">
        <f>SUM(G2225:G2226)</f>
        <v>0</v>
      </c>
      <c r="H2227" s="589">
        <f t="shared" ref="H2227" si="308">SUM(H2225:H2226)</f>
        <v>0</v>
      </c>
      <c r="I2227" s="589"/>
    </row>
    <row r="2228" spans="1:9" x14ac:dyDescent="0.25">
      <c r="A2228" s="575"/>
      <c r="B2228" s="561" t="s">
        <v>613</v>
      </c>
      <c r="C2228" s="579">
        <f>C2220+C2227</f>
        <v>615321.01</v>
      </c>
      <c r="D2228" s="579">
        <f t="shared" ref="D2228:H2228" si="309">D2220+D2227</f>
        <v>486796.15</v>
      </c>
      <c r="E2228" s="956">
        <f>E2220+E2227</f>
        <v>594046</v>
      </c>
      <c r="F2228" s="579">
        <f t="shared" si="309"/>
        <v>0</v>
      </c>
      <c r="G2228" s="579">
        <f>G2220+G2227</f>
        <v>594046.09</v>
      </c>
      <c r="H2228" s="579">
        <f t="shared" si="309"/>
        <v>0.01</v>
      </c>
      <c r="I2228" s="579"/>
    </row>
    <row r="2229" spans="1:9" x14ac:dyDescent="0.25">
      <c r="A2229" s="575"/>
      <c r="B2229" s="561"/>
      <c r="C2229" s="582"/>
      <c r="D2229" s="582"/>
      <c r="E2229" s="935"/>
      <c r="F2229" s="582"/>
      <c r="G2229" s="582"/>
      <c r="H2229" s="581"/>
      <c r="I2229" s="581"/>
    </row>
    <row r="2230" spans="1:9" x14ac:dyDescent="0.25">
      <c r="A2230" s="575"/>
      <c r="B2230" s="561" t="s">
        <v>449</v>
      </c>
      <c r="C2230" s="616">
        <f t="shared" ref="C2230:H2230" si="310">C1588</f>
        <v>584984</v>
      </c>
      <c r="D2230" s="616">
        <f t="shared" si="310"/>
        <v>515307.63</v>
      </c>
      <c r="E2230" s="956">
        <f t="shared" si="310"/>
        <v>651229</v>
      </c>
      <c r="F2230" s="616">
        <f t="shared" si="310"/>
        <v>0</v>
      </c>
      <c r="G2230" s="616">
        <f t="shared" si="310"/>
        <v>651229</v>
      </c>
      <c r="H2230" s="616">
        <f t="shared" si="310"/>
        <v>0</v>
      </c>
      <c r="I2230" s="616"/>
    </row>
    <row r="2231" spans="1:9" x14ac:dyDescent="0.25">
      <c r="A2231" s="575"/>
      <c r="B2231" s="561" t="s">
        <v>116</v>
      </c>
      <c r="C2231" s="616">
        <f>C2228</f>
        <v>615321.01</v>
      </c>
      <c r="D2231" s="616">
        <f t="shared" ref="D2231:H2231" si="311">D2228</f>
        <v>486796.15</v>
      </c>
      <c r="E2231" s="956">
        <f>E2228</f>
        <v>594046</v>
      </c>
      <c r="F2231" s="616">
        <f t="shared" si="311"/>
        <v>0</v>
      </c>
      <c r="G2231" s="616">
        <f>G2228</f>
        <v>594046.09</v>
      </c>
      <c r="H2231" s="616">
        <f t="shared" si="311"/>
        <v>0.01</v>
      </c>
      <c r="I2231" s="616"/>
    </row>
    <row r="2232" spans="1:9" x14ac:dyDescent="0.25">
      <c r="A2232" s="575"/>
      <c r="B2232" s="561" t="s">
        <v>450</v>
      </c>
      <c r="C2232" s="616">
        <f>C2230-C2231</f>
        <v>-30337.010000000009</v>
      </c>
      <c r="D2232" s="616">
        <f t="shared" ref="D2232:H2232" si="312">D2230-D2231</f>
        <v>28511.479999999981</v>
      </c>
      <c r="E2232" s="956">
        <f>E2230-E2231</f>
        <v>57183</v>
      </c>
      <c r="F2232" s="616">
        <f t="shared" si="312"/>
        <v>0</v>
      </c>
      <c r="G2232" s="616">
        <f>G2230-G2231</f>
        <v>57182.910000000033</v>
      </c>
      <c r="H2232" s="616">
        <f t="shared" si="312"/>
        <v>-0.01</v>
      </c>
      <c r="I2232" s="616"/>
    </row>
    <row r="2233" spans="1:9" x14ac:dyDescent="0.25">
      <c r="A2233" s="575"/>
      <c r="B2233" s="561" t="s">
        <v>451</v>
      </c>
      <c r="C2233" s="616">
        <f t="shared" ref="C2233:H2233" si="313">C1516+C2232</f>
        <v>46513.989999999991</v>
      </c>
      <c r="D2233" s="616">
        <f t="shared" si="313"/>
        <v>28511.479999999981</v>
      </c>
      <c r="E2233" s="956">
        <f t="shared" si="313"/>
        <v>57183</v>
      </c>
      <c r="F2233" s="616">
        <f t="shared" si="313"/>
        <v>0</v>
      </c>
      <c r="G2233" s="616">
        <f t="shared" si="313"/>
        <v>57182.910000000033</v>
      </c>
      <c r="H2233" s="616">
        <f t="shared" si="313"/>
        <v>-0.01</v>
      </c>
      <c r="I2233" s="616"/>
    </row>
    <row r="2234" spans="1:9" x14ac:dyDescent="0.25">
      <c r="A2234" s="575"/>
      <c r="B2234" s="561" t="s">
        <v>841</v>
      </c>
      <c r="C2234" s="616">
        <v>12967</v>
      </c>
      <c r="D2234" s="616">
        <v>0</v>
      </c>
      <c r="E2234" s="956"/>
      <c r="F2234" s="616">
        <v>0</v>
      </c>
      <c r="G2234" s="616"/>
      <c r="H2234" s="616"/>
      <c r="I2234" s="616"/>
    </row>
    <row r="2235" spans="1:9" x14ac:dyDescent="0.25">
      <c r="A2235" s="576"/>
      <c r="B2235" s="561" t="s">
        <v>842</v>
      </c>
      <c r="C2235" s="579">
        <f>C2233-C2234</f>
        <v>33546.989999999991</v>
      </c>
      <c r="D2235" s="579">
        <f t="shared" ref="D2235:H2235" si="314">D2233-D2234</f>
        <v>28511.479999999981</v>
      </c>
      <c r="E2235" s="956">
        <f>E2233-E2234</f>
        <v>57183</v>
      </c>
      <c r="F2235" s="579">
        <f t="shared" si="314"/>
        <v>0</v>
      </c>
      <c r="G2235" s="579">
        <f>G2233-G2234</f>
        <v>57182.910000000033</v>
      </c>
      <c r="H2235" s="579">
        <f t="shared" si="314"/>
        <v>-0.01</v>
      </c>
      <c r="I2235" s="579"/>
    </row>
    <row r="2236" spans="1:9" x14ac:dyDescent="0.25">
      <c r="A2236" s="580">
        <v>32332</v>
      </c>
      <c r="B2236" s="561" t="s">
        <v>843</v>
      </c>
      <c r="C2236" s="582">
        <v>9600</v>
      </c>
      <c r="D2236" s="581">
        <v>0</v>
      </c>
      <c r="E2236" s="956">
        <v>9600</v>
      </c>
      <c r="F2236" s="582"/>
      <c r="G2236" s="579">
        <v>9600</v>
      </c>
      <c r="H2236" s="581"/>
      <c r="I2236" s="581"/>
    </row>
    <row r="2237" spans="1:9" x14ac:dyDescent="0.25">
      <c r="A2237" s="575"/>
      <c r="B2237" s="561" t="s">
        <v>465</v>
      </c>
      <c r="C2237" s="616">
        <f>C2235-C2236</f>
        <v>23946.989999999991</v>
      </c>
      <c r="D2237" s="616">
        <f t="shared" ref="D2237:H2237" si="315">D2235-D2236</f>
        <v>28511.479999999981</v>
      </c>
      <c r="E2237" s="956">
        <f>E2235-E2236</f>
        <v>47583</v>
      </c>
      <c r="F2237" s="616">
        <f t="shared" si="315"/>
        <v>0</v>
      </c>
      <c r="G2237" s="616">
        <f>G2235-G2236</f>
        <v>47582.910000000033</v>
      </c>
      <c r="H2237" s="616">
        <f t="shared" si="315"/>
        <v>-0.01</v>
      </c>
      <c r="I2237" s="616"/>
    </row>
    <row r="2238" spans="1:9" x14ac:dyDescent="0.25">
      <c r="A2238" s="575"/>
      <c r="B2238" s="561"/>
      <c r="C2238" s="564"/>
      <c r="D2238" s="576"/>
      <c r="E2238" s="576"/>
      <c r="F2238" s="564"/>
      <c r="G2238" s="581"/>
      <c r="H2238" s="581"/>
      <c r="I2238" s="581"/>
    </row>
    <row r="2239" spans="1:9" x14ac:dyDescent="0.25">
      <c r="A2239" s="784" t="s">
        <v>844</v>
      </c>
      <c r="B2239" s="688" t="s">
        <v>845</v>
      </c>
      <c r="C2239" s="630">
        <v>2017</v>
      </c>
      <c r="D2239" s="629" t="s">
        <v>1236</v>
      </c>
      <c r="E2239" s="629">
        <v>2018</v>
      </c>
      <c r="F2239" s="630" t="s">
        <v>1236</v>
      </c>
      <c r="G2239" s="631" t="s">
        <v>4</v>
      </c>
      <c r="H2239" s="631">
        <v>2019</v>
      </c>
      <c r="I2239" s="627" t="s">
        <v>5</v>
      </c>
    </row>
    <row r="2240" spans="1:9" x14ac:dyDescent="0.25">
      <c r="A2240" s="575"/>
      <c r="B2240" s="576" t="s">
        <v>93</v>
      </c>
      <c r="C2240" s="630" t="s">
        <v>6</v>
      </c>
      <c r="D2240" s="634">
        <v>43069</v>
      </c>
      <c r="E2240" s="629" t="s">
        <v>6</v>
      </c>
      <c r="F2240" s="634">
        <v>43131</v>
      </c>
      <c r="G2240" s="635" t="s">
        <v>1131</v>
      </c>
      <c r="H2240" s="635" t="s">
        <v>6</v>
      </c>
      <c r="I2240" s="627" t="s">
        <v>7</v>
      </c>
    </row>
    <row r="2241" spans="1:9" x14ac:dyDescent="0.25">
      <c r="A2241" s="575"/>
      <c r="B2241" s="576"/>
      <c r="C2241" s="578"/>
      <c r="D2241" s="577"/>
      <c r="E2241" s="932"/>
      <c r="F2241" s="564"/>
      <c r="G2241" s="581"/>
      <c r="H2241" s="581"/>
      <c r="I2241" s="581"/>
    </row>
    <row r="2242" spans="1:9" x14ac:dyDescent="0.25">
      <c r="A2242" s="561" t="s">
        <v>1234</v>
      </c>
      <c r="B2242" s="576"/>
      <c r="C2242" s="563">
        <v>123651</v>
      </c>
      <c r="D2242" s="946"/>
      <c r="E2242" s="954">
        <v>164831</v>
      </c>
      <c r="F2242" s="563"/>
      <c r="G2242" s="563">
        <f>E2242+E2391-E2392</f>
        <v>156488.63</v>
      </c>
      <c r="H2242" s="579"/>
      <c r="I2242" s="581"/>
    </row>
    <row r="2243" spans="1:9" x14ac:dyDescent="0.25">
      <c r="A2243" s="560" t="s">
        <v>846</v>
      </c>
      <c r="B2243" s="561" t="s">
        <v>847</v>
      </c>
      <c r="C2243" s="581"/>
      <c r="D2243" s="581"/>
      <c r="E2243" s="901"/>
      <c r="F2243" s="581"/>
      <c r="G2243" s="581" t="s">
        <v>1269</v>
      </c>
      <c r="H2243" s="581"/>
      <c r="I2243" s="581"/>
    </row>
    <row r="2244" spans="1:9" x14ac:dyDescent="0.25">
      <c r="A2244" s="560"/>
      <c r="B2244" s="561" t="s">
        <v>9</v>
      </c>
      <c r="C2244" s="581"/>
      <c r="D2244" s="581"/>
      <c r="E2244" s="901"/>
      <c r="F2244" s="581"/>
      <c r="G2244" s="581"/>
      <c r="H2244" s="581"/>
      <c r="I2244" s="581"/>
    </row>
    <row r="2245" spans="1:9" x14ac:dyDescent="0.25">
      <c r="A2245" s="575">
        <v>31200</v>
      </c>
      <c r="B2245" s="576" t="s">
        <v>346</v>
      </c>
      <c r="C2245" s="581"/>
      <c r="D2245" s="581">
        <v>0</v>
      </c>
      <c r="E2245" s="901">
        <v>0.01</v>
      </c>
      <c r="F2245" s="581">
        <v>0</v>
      </c>
      <c r="G2245" s="581">
        <v>0.01</v>
      </c>
      <c r="H2245" s="581"/>
      <c r="I2245" s="639" t="e">
        <f>F2245/C2245</f>
        <v>#DIV/0!</v>
      </c>
    </row>
    <row r="2246" spans="1:9" x14ac:dyDescent="0.25">
      <c r="A2246" s="575">
        <v>31250</v>
      </c>
      <c r="B2246" s="576" t="s">
        <v>13</v>
      </c>
      <c r="C2246" s="581"/>
      <c r="D2246" s="581"/>
      <c r="E2246" s="901">
        <v>0.01</v>
      </c>
      <c r="F2246" s="581">
        <v>0</v>
      </c>
      <c r="G2246" s="581">
        <v>0.01</v>
      </c>
      <c r="H2246" s="581"/>
      <c r="I2246" s="639" t="e">
        <f>F2246/C2246</f>
        <v>#DIV/0!</v>
      </c>
    </row>
    <row r="2247" spans="1:9" x14ac:dyDescent="0.25">
      <c r="A2247" s="575"/>
      <c r="B2247" s="583" t="s">
        <v>14</v>
      </c>
      <c r="C2247" s="587">
        <f t="shared" ref="C2247:H2247" si="316">SUM(C2245:C2246)</f>
        <v>0</v>
      </c>
      <c r="D2247" s="587">
        <f t="shared" si="316"/>
        <v>0</v>
      </c>
      <c r="E2247" s="953">
        <f t="shared" si="316"/>
        <v>0.02</v>
      </c>
      <c r="F2247" s="587">
        <f t="shared" si="316"/>
        <v>0</v>
      </c>
      <c r="G2247" s="587">
        <f t="shared" si="316"/>
        <v>0.02</v>
      </c>
      <c r="H2247" s="587">
        <f t="shared" si="316"/>
        <v>0</v>
      </c>
      <c r="I2247" s="639" t="e">
        <f>F2247/C2247</f>
        <v>#DIV/0!</v>
      </c>
    </row>
    <row r="2248" spans="1:9" x14ac:dyDescent="0.25">
      <c r="A2248" s="575"/>
      <c r="B2248" s="561" t="s">
        <v>15</v>
      </c>
      <c r="C2248" s="581"/>
      <c r="D2248" s="581"/>
      <c r="E2248" s="901"/>
      <c r="F2248" s="581"/>
      <c r="G2248" s="581"/>
      <c r="H2248" s="581"/>
      <c r="I2248" s="581"/>
    </row>
    <row r="2249" spans="1:9" x14ac:dyDescent="0.25">
      <c r="A2249" s="575">
        <v>32330</v>
      </c>
      <c r="B2249" s="576" t="s">
        <v>1196</v>
      </c>
      <c r="C2249" s="581">
        <v>300</v>
      </c>
      <c r="D2249" s="581">
        <v>228.8</v>
      </c>
      <c r="E2249" s="901">
        <v>300</v>
      </c>
      <c r="F2249" s="581"/>
      <c r="G2249" s="581">
        <v>300</v>
      </c>
      <c r="H2249" s="581"/>
      <c r="I2249" s="639">
        <f t="shared" ref="I2249:I2256" si="317">F2249/C2249</f>
        <v>0</v>
      </c>
    </row>
    <row r="2250" spans="1:9" x14ac:dyDescent="0.25">
      <c r="A2250" s="575">
        <v>32340</v>
      </c>
      <c r="B2250" s="576" t="s">
        <v>29</v>
      </c>
      <c r="C2250" s="581"/>
      <c r="D2250" s="581">
        <v>0</v>
      </c>
      <c r="E2250" s="901">
        <v>0.01</v>
      </c>
      <c r="F2250" s="581"/>
      <c r="G2250" s="581">
        <v>0</v>
      </c>
      <c r="H2250" s="581"/>
      <c r="I2250" s="639" t="e">
        <f t="shared" si="317"/>
        <v>#DIV/0!</v>
      </c>
    </row>
    <row r="2251" spans="1:9" x14ac:dyDescent="0.25">
      <c r="A2251" s="575">
        <v>32370</v>
      </c>
      <c r="B2251" s="576" t="s">
        <v>848</v>
      </c>
      <c r="C2251" s="581"/>
      <c r="D2251" s="581">
        <v>0</v>
      </c>
      <c r="E2251" s="901">
        <v>0.01</v>
      </c>
      <c r="F2251" s="581"/>
      <c r="G2251" s="581">
        <v>0</v>
      </c>
      <c r="H2251" s="581"/>
      <c r="I2251" s="639" t="e">
        <f t="shared" si="317"/>
        <v>#DIV/0!</v>
      </c>
    </row>
    <row r="2252" spans="1:9" x14ac:dyDescent="0.25">
      <c r="A2252" s="575">
        <v>32460</v>
      </c>
      <c r="B2252" s="576" t="s">
        <v>849</v>
      </c>
      <c r="C2252" s="581">
        <v>2500</v>
      </c>
      <c r="D2252" s="581">
        <v>100</v>
      </c>
      <c r="E2252" s="901">
        <v>2500</v>
      </c>
      <c r="F2252" s="581"/>
      <c r="G2252" s="581">
        <v>2500</v>
      </c>
      <c r="H2252" s="581"/>
      <c r="I2252" s="639">
        <f t="shared" si="317"/>
        <v>0</v>
      </c>
    </row>
    <row r="2253" spans="1:9" x14ac:dyDescent="0.25">
      <c r="A2253" s="575">
        <v>32470</v>
      </c>
      <c r="B2253" s="575" t="s">
        <v>850</v>
      </c>
      <c r="C2253" s="581">
        <v>1500</v>
      </c>
      <c r="D2253" s="581">
        <v>35881</v>
      </c>
      <c r="E2253" s="901">
        <v>1500</v>
      </c>
      <c r="F2253" s="581"/>
      <c r="G2253" s="581">
        <v>1500</v>
      </c>
      <c r="H2253" s="581"/>
      <c r="I2253" s="639">
        <f t="shared" si="317"/>
        <v>0</v>
      </c>
    </row>
    <row r="2254" spans="1:9" x14ac:dyDescent="0.25">
      <c r="A2254" s="575">
        <v>32480</v>
      </c>
      <c r="B2254" s="575" t="s">
        <v>851</v>
      </c>
      <c r="C2254" s="581"/>
      <c r="D2254" s="581">
        <v>0</v>
      </c>
      <c r="E2254" s="901">
        <v>0</v>
      </c>
      <c r="F2254" s="581"/>
      <c r="G2254" s="581">
        <v>0</v>
      </c>
      <c r="H2254" s="581"/>
      <c r="I2254" s="639" t="e">
        <f t="shared" si="317"/>
        <v>#DIV/0!</v>
      </c>
    </row>
    <row r="2255" spans="1:9" x14ac:dyDescent="0.25">
      <c r="A2255" s="575">
        <v>32610</v>
      </c>
      <c r="B2255" s="576" t="s">
        <v>852</v>
      </c>
      <c r="C2255" s="581"/>
      <c r="D2255" s="581">
        <v>0</v>
      </c>
      <c r="E2255" s="901">
        <v>0.01</v>
      </c>
      <c r="F2255" s="581"/>
      <c r="G2255" s="581">
        <v>0</v>
      </c>
      <c r="H2255" s="581"/>
      <c r="I2255" s="639" t="e">
        <f t="shared" si="317"/>
        <v>#DIV/0!</v>
      </c>
    </row>
    <row r="2256" spans="1:9" x14ac:dyDescent="0.25">
      <c r="A2256" s="575"/>
      <c r="B2256" s="583" t="s">
        <v>14</v>
      </c>
      <c r="C2256" s="584">
        <f>SUM(C2249:C2255)</f>
        <v>4300</v>
      </c>
      <c r="D2256" s="584">
        <f t="shared" ref="D2256" si="318">SUM(D2249:D2255)</f>
        <v>36209.800000000003</v>
      </c>
      <c r="E2256" s="958">
        <f>SUM(E2249:E2255)</f>
        <v>4300.0300000000007</v>
      </c>
      <c r="F2256" s="584">
        <f t="shared" ref="F2256:H2256" si="319">SUM(F2249:F2255)</f>
        <v>0</v>
      </c>
      <c r="G2256" s="584">
        <f>SUM(G2249:G2255)</f>
        <v>4300</v>
      </c>
      <c r="H2256" s="584">
        <f t="shared" si="319"/>
        <v>0</v>
      </c>
      <c r="I2256" s="639">
        <f t="shared" si="317"/>
        <v>0</v>
      </c>
    </row>
    <row r="2257" spans="1:9" x14ac:dyDescent="0.25">
      <c r="A2257" s="575"/>
      <c r="B2257" s="561" t="s">
        <v>853</v>
      </c>
      <c r="C2257" s="581"/>
      <c r="D2257" s="581"/>
      <c r="E2257" s="901"/>
      <c r="F2257" s="581"/>
      <c r="G2257" s="581"/>
      <c r="H2257" s="581"/>
      <c r="I2257" s="581"/>
    </row>
    <row r="2258" spans="1:9" x14ac:dyDescent="0.25">
      <c r="A2258" s="930">
        <v>33620</v>
      </c>
      <c r="B2258" s="936" t="s">
        <v>854</v>
      </c>
      <c r="C2258" s="581"/>
      <c r="D2258" s="721">
        <v>0</v>
      </c>
      <c r="E2258" s="907">
        <v>0</v>
      </c>
      <c r="F2258" s="581"/>
      <c r="G2258" s="581">
        <v>0</v>
      </c>
      <c r="H2258" s="581"/>
      <c r="I2258" s="639" t="e">
        <f t="shared" ref="I2258:I2263" si="320">F2258/C2258</f>
        <v>#DIV/0!</v>
      </c>
    </row>
    <row r="2259" spans="1:9" x14ac:dyDescent="0.25">
      <c r="A2259" s="575">
        <v>33790</v>
      </c>
      <c r="B2259" s="576" t="s">
        <v>855</v>
      </c>
      <c r="C2259" s="581"/>
      <c r="D2259" s="581">
        <v>10444.4</v>
      </c>
      <c r="E2259" s="901">
        <v>0</v>
      </c>
      <c r="F2259" s="581"/>
      <c r="G2259" s="581">
        <v>0</v>
      </c>
      <c r="H2259" s="581"/>
      <c r="I2259" s="639" t="e">
        <f t="shared" si="320"/>
        <v>#DIV/0!</v>
      </c>
    </row>
    <row r="2260" spans="1:9" x14ac:dyDescent="0.25">
      <c r="A2260" s="575">
        <v>33800</v>
      </c>
      <c r="B2260" s="576" t="s">
        <v>856</v>
      </c>
      <c r="C2260" s="581">
        <v>1200</v>
      </c>
      <c r="D2260" s="581">
        <v>1991</v>
      </c>
      <c r="E2260" s="901">
        <v>1200</v>
      </c>
      <c r="F2260" s="581"/>
      <c r="G2260" s="581">
        <v>1200</v>
      </c>
      <c r="H2260" s="581"/>
      <c r="I2260" s="639">
        <f t="shared" si="320"/>
        <v>0</v>
      </c>
    </row>
    <row r="2261" spans="1:9" x14ac:dyDescent="0.25">
      <c r="A2261" s="575">
        <v>33801</v>
      </c>
      <c r="B2261" s="576" t="s">
        <v>857</v>
      </c>
      <c r="C2261" s="581"/>
      <c r="D2261" s="581">
        <v>0</v>
      </c>
      <c r="E2261" s="901">
        <v>0.01</v>
      </c>
      <c r="F2261" s="581"/>
      <c r="G2261" s="581">
        <v>0</v>
      </c>
      <c r="H2261" s="581"/>
      <c r="I2261" s="639" t="e">
        <f t="shared" si="320"/>
        <v>#DIV/0!</v>
      </c>
    </row>
    <row r="2262" spans="1:9" x14ac:dyDescent="0.25">
      <c r="A2262" s="575"/>
      <c r="B2262" s="576" t="s">
        <v>858</v>
      </c>
      <c r="C2262" s="581"/>
      <c r="D2262" s="581">
        <v>0</v>
      </c>
      <c r="E2262" s="901">
        <v>0.01</v>
      </c>
      <c r="F2262" s="581"/>
      <c r="G2262" s="581">
        <v>0</v>
      </c>
      <c r="H2262" s="581"/>
      <c r="I2262" s="639" t="e">
        <f t="shared" si="320"/>
        <v>#DIV/0!</v>
      </c>
    </row>
    <row r="2263" spans="1:9" x14ac:dyDescent="0.25">
      <c r="A2263" s="575"/>
      <c r="B2263" s="583" t="s">
        <v>14</v>
      </c>
      <c r="C2263" s="587">
        <f>SUM(C2258:C2262)</f>
        <v>1200</v>
      </c>
      <c r="D2263" s="587">
        <f t="shared" ref="D2263" si="321">SUM(D2258:D2262)</f>
        <v>12435.4</v>
      </c>
      <c r="E2263" s="953">
        <f>SUM(E2258:E2262)</f>
        <v>1200.02</v>
      </c>
      <c r="F2263" s="587">
        <f t="shared" ref="F2263:H2263" si="322">SUM(F2258:F2262)</f>
        <v>0</v>
      </c>
      <c r="G2263" s="587">
        <f>SUM(G2258:G2262)</f>
        <v>1200</v>
      </c>
      <c r="H2263" s="587">
        <f t="shared" si="322"/>
        <v>0</v>
      </c>
      <c r="I2263" s="639">
        <f t="shared" si="320"/>
        <v>0</v>
      </c>
    </row>
    <row r="2264" spans="1:9" x14ac:dyDescent="0.25">
      <c r="A2264" s="575"/>
      <c r="B2264" s="583"/>
      <c r="C2264" s="581"/>
      <c r="D2264" s="581"/>
      <c r="E2264" s="901"/>
      <c r="F2264" s="581"/>
      <c r="G2264" s="581"/>
      <c r="H2264" s="581"/>
      <c r="I2264" s="581"/>
    </row>
    <row r="2265" spans="1:9" x14ac:dyDescent="0.25">
      <c r="A2265" s="575"/>
      <c r="B2265" s="561" t="s">
        <v>45</v>
      </c>
      <c r="C2265" s="581"/>
      <c r="D2265" s="581"/>
      <c r="E2265" s="901"/>
      <c r="F2265" s="581"/>
      <c r="G2265" s="581"/>
      <c r="H2265" s="581"/>
      <c r="I2265" s="581"/>
    </row>
    <row r="2266" spans="1:9" x14ac:dyDescent="0.25">
      <c r="A2266" s="575">
        <v>33630</v>
      </c>
      <c r="B2266" s="576" t="s">
        <v>859</v>
      </c>
      <c r="C2266" s="581"/>
      <c r="D2266" s="581">
        <v>750</v>
      </c>
      <c r="E2266" s="901">
        <v>0.01</v>
      </c>
      <c r="F2266" s="581"/>
      <c r="G2266" s="581">
        <v>0</v>
      </c>
      <c r="H2266" s="581"/>
      <c r="I2266" s="639" t="e">
        <f t="shared" ref="I2266:I2273" si="323">F2266/C2266</f>
        <v>#DIV/0!</v>
      </c>
    </row>
    <row r="2267" spans="1:9" x14ac:dyDescent="0.25">
      <c r="A2267" s="575">
        <v>34080</v>
      </c>
      <c r="B2267" s="576" t="s">
        <v>860</v>
      </c>
      <c r="C2267" s="581"/>
      <c r="D2267" s="581">
        <v>15</v>
      </c>
      <c r="E2267" s="901">
        <v>0</v>
      </c>
      <c r="F2267" s="581"/>
      <c r="G2267" s="581">
        <v>0</v>
      </c>
      <c r="H2267" s="581"/>
      <c r="I2267" s="639" t="e">
        <f t="shared" si="323"/>
        <v>#DIV/0!</v>
      </c>
    </row>
    <row r="2268" spans="1:9" x14ac:dyDescent="0.25">
      <c r="A2268" s="575">
        <v>34100</v>
      </c>
      <c r="B2268" s="576" t="s">
        <v>861</v>
      </c>
      <c r="C2268" s="581"/>
      <c r="D2268" s="581">
        <v>0</v>
      </c>
      <c r="E2268" s="901">
        <v>0.01</v>
      </c>
      <c r="F2268" s="581"/>
      <c r="G2268" s="581">
        <v>0</v>
      </c>
      <c r="H2268" s="581"/>
      <c r="I2268" s="639" t="e">
        <f t="shared" si="323"/>
        <v>#DIV/0!</v>
      </c>
    </row>
    <row r="2269" spans="1:9" x14ac:dyDescent="0.25">
      <c r="A2269" s="575">
        <v>34101</v>
      </c>
      <c r="B2269" s="576" t="s">
        <v>1197</v>
      </c>
      <c r="C2269" s="581">
        <v>2000</v>
      </c>
      <c r="D2269" s="581">
        <v>1524.55</v>
      </c>
      <c r="E2269" s="901">
        <v>2000</v>
      </c>
      <c r="F2269" s="581"/>
      <c r="G2269" s="581">
        <v>2000</v>
      </c>
      <c r="H2269" s="581"/>
      <c r="I2269" s="639">
        <f t="shared" si="323"/>
        <v>0</v>
      </c>
    </row>
    <row r="2270" spans="1:9" x14ac:dyDescent="0.25">
      <c r="A2270" s="575">
        <v>34200</v>
      </c>
      <c r="B2270" s="576" t="s">
        <v>862</v>
      </c>
      <c r="C2270" s="581">
        <v>20000</v>
      </c>
      <c r="D2270" s="581">
        <v>4258.05</v>
      </c>
      <c r="E2270" s="901">
        <v>20000</v>
      </c>
      <c r="F2270" s="581"/>
      <c r="G2270" s="581">
        <v>20000</v>
      </c>
      <c r="H2270" s="581"/>
      <c r="I2270" s="639">
        <f t="shared" si="323"/>
        <v>0</v>
      </c>
    </row>
    <row r="2271" spans="1:9" x14ac:dyDescent="0.25">
      <c r="A2271" s="575">
        <v>34210</v>
      </c>
      <c r="B2271" s="576" t="s">
        <v>863</v>
      </c>
      <c r="C2271" s="581">
        <v>1500</v>
      </c>
      <c r="D2271" s="581">
        <v>1106.51</v>
      </c>
      <c r="E2271" s="901">
        <v>1500</v>
      </c>
      <c r="F2271" s="581"/>
      <c r="G2271" s="581">
        <v>1500</v>
      </c>
      <c r="H2271" s="581"/>
      <c r="I2271" s="639">
        <f t="shared" si="323"/>
        <v>0</v>
      </c>
    </row>
    <row r="2272" spans="1:9" x14ac:dyDescent="0.25">
      <c r="A2272" s="575">
        <v>34290</v>
      </c>
      <c r="B2272" s="576" t="s">
        <v>33</v>
      </c>
      <c r="C2272" s="581"/>
      <c r="D2272" s="581">
        <v>10000</v>
      </c>
      <c r="E2272" s="901">
        <v>0.01</v>
      </c>
      <c r="F2272" s="581"/>
      <c r="G2272" s="581">
        <v>0</v>
      </c>
      <c r="H2272" s="581"/>
      <c r="I2272" s="639" t="e">
        <f t="shared" si="323"/>
        <v>#DIV/0!</v>
      </c>
    </row>
    <row r="2273" spans="1:9" x14ac:dyDescent="0.25">
      <c r="A2273" s="575"/>
      <c r="B2273" s="583" t="s">
        <v>14</v>
      </c>
      <c r="C2273" s="584">
        <f>SUM(C2266:C2272)</f>
        <v>23500</v>
      </c>
      <c r="D2273" s="584">
        <f t="shared" ref="D2273" si="324">SUM(D2266:D2272)</f>
        <v>17654.11</v>
      </c>
      <c r="E2273" s="958">
        <f>SUM(E2266:E2272)</f>
        <v>23500.03</v>
      </c>
      <c r="F2273" s="584">
        <f t="shared" ref="F2273:H2273" si="325">SUM(F2266:F2272)</f>
        <v>0</v>
      </c>
      <c r="G2273" s="584">
        <f>SUM(G2266:G2272)</f>
        <v>23500</v>
      </c>
      <c r="H2273" s="584">
        <f t="shared" si="325"/>
        <v>0</v>
      </c>
      <c r="I2273" s="639">
        <f t="shared" si="323"/>
        <v>0</v>
      </c>
    </row>
    <row r="2274" spans="1:9" x14ac:dyDescent="0.25">
      <c r="A2274" s="575"/>
      <c r="B2274" s="561" t="s">
        <v>62</v>
      </c>
      <c r="C2274" s="581"/>
      <c r="D2274" s="581"/>
      <c r="E2274" s="901"/>
      <c r="F2274" s="581"/>
      <c r="G2274" s="581"/>
      <c r="H2274" s="581"/>
      <c r="I2274" s="581"/>
    </row>
    <row r="2275" spans="1:9" x14ac:dyDescent="0.25">
      <c r="A2275" s="575">
        <v>35110</v>
      </c>
      <c r="B2275" s="576" t="s">
        <v>864</v>
      </c>
      <c r="C2275" s="581">
        <v>59643</v>
      </c>
      <c r="D2275" s="581">
        <v>44732.25</v>
      </c>
      <c r="E2275" s="901">
        <v>59643</v>
      </c>
      <c r="F2275" s="581"/>
      <c r="G2275" s="581">
        <v>59643</v>
      </c>
      <c r="H2275" s="581"/>
      <c r="I2275" s="639">
        <f>F2275/C2275</f>
        <v>0</v>
      </c>
    </row>
    <row r="2276" spans="1:9" x14ac:dyDescent="0.25">
      <c r="A2276" s="575"/>
      <c r="B2276" s="583" t="s">
        <v>14</v>
      </c>
      <c r="C2276" s="587">
        <f>SUM(C2275)</f>
        <v>59643</v>
      </c>
      <c r="D2276" s="587">
        <f t="shared" ref="D2276" si="326">SUM(D2275)</f>
        <v>44732.25</v>
      </c>
      <c r="E2276" s="953">
        <f>SUM(E2275)</f>
        <v>59643</v>
      </c>
      <c r="F2276" s="587">
        <f t="shared" ref="F2276:H2276" si="327">SUM(F2275)</f>
        <v>0</v>
      </c>
      <c r="G2276" s="587">
        <f>SUM(G2275)</f>
        <v>59643</v>
      </c>
      <c r="H2276" s="587">
        <f t="shared" si="327"/>
        <v>0</v>
      </c>
      <c r="I2276" s="639">
        <f>F2276/C2276</f>
        <v>0</v>
      </c>
    </row>
    <row r="2277" spans="1:9" x14ac:dyDescent="0.25">
      <c r="A2277" s="575"/>
      <c r="B2277" s="561" t="s">
        <v>65</v>
      </c>
      <c r="C2277" s="581"/>
      <c r="D2277" s="581"/>
      <c r="E2277" s="901"/>
      <c r="F2277" s="581"/>
      <c r="G2277" s="581"/>
      <c r="H2277" s="581"/>
      <c r="I2277" s="581"/>
    </row>
    <row r="2278" spans="1:9" x14ac:dyDescent="0.25">
      <c r="A2278" s="575">
        <v>36120</v>
      </c>
      <c r="B2278" s="576" t="s">
        <v>865</v>
      </c>
      <c r="C2278" s="581">
        <v>10000</v>
      </c>
      <c r="D2278" s="581">
        <v>9168</v>
      </c>
      <c r="E2278" s="901">
        <v>10000</v>
      </c>
      <c r="F2278" s="581"/>
      <c r="G2278" s="581">
        <v>10000</v>
      </c>
      <c r="H2278" s="581"/>
      <c r="I2278" s="639">
        <f>F2278/C2278</f>
        <v>0</v>
      </c>
    </row>
    <row r="2279" spans="1:9" x14ac:dyDescent="0.25">
      <c r="A2279" s="575"/>
      <c r="B2279" s="576" t="s">
        <v>866</v>
      </c>
      <c r="C2279" s="581"/>
      <c r="D2279" s="581"/>
      <c r="E2279" s="901"/>
      <c r="F2279" s="581"/>
      <c r="G2279" s="581"/>
      <c r="H2279" s="581"/>
      <c r="I2279" s="581"/>
    </row>
    <row r="2280" spans="1:9" x14ac:dyDescent="0.25">
      <c r="A2280" s="575"/>
      <c r="B2280" s="576" t="s">
        <v>867</v>
      </c>
      <c r="C2280" s="581"/>
      <c r="D2280" s="581"/>
      <c r="E2280" s="901"/>
      <c r="F2280" s="581"/>
      <c r="G2280" s="581"/>
      <c r="H2280" s="581"/>
      <c r="I2280" s="581"/>
    </row>
    <row r="2281" spans="1:9" x14ac:dyDescent="0.25">
      <c r="A2281" s="575">
        <v>36210</v>
      </c>
      <c r="B2281" s="576" t="s">
        <v>868</v>
      </c>
      <c r="C2281" s="581">
        <v>0</v>
      </c>
      <c r="D2281" s="581">
        <v>0</v>
      </c>
      <c r="E2281" s="901">
        <v>0.01</v>
      </c>
      <c r="F2281" s="581"/>
      <c r="G2281" s="581">
        <v>0</v>
      </c>
      <c r="H2281" s="581"/>
      <c r="I2281" s="639" t="e">
        <f>F2281/C2281</f>
        <v>#DIV/0!</v>
      </c>
    </row>
    <row r="2282" spans="1:9" x14ac:dyDescent="0.25">
      <c r="A2282" s="575">
        <v>36211</v>
      </c>
      <c r="B2282" s="576" t="s">
        <v>869</v>
      </c>
      <c r="C2282" s="581">
        <v>7537</v>
      </c>
      <c r="D2282" s="581">
        <v>0</v>
      </c>
      <c r="E2282" s="901">
        <v>0</v>
      </c>
      <c r="F2282" s="581"/>
      <c r="G2282" s="581">
        <v>0</v>
      </c>
      <c r="H2282" s="581"/>
      <c r="I2282" s="639">
        <f>F2282/C2282</f>
        <v>0</v>
      </c>
    </row>
    <row r="2283" spans="1:9" x14ac:dyDescent="0.25">
      <c r="A2283" s="575">
        <v>36220</v>
      </c>
      <c r="B2283" s="576" t="s">
        <v>870</v>
      </c>
      <c r="C2283" s="581">
        <v>0</v>
      </c>
      <c r="D2283" s="581">
        <v>0</v>
      </c>
      <c r="E2283" s="901">
        <v>1E-3</v>
      </c>
      <c r="F2283" s="581"/>
      <c r="G2283" s="581">
        <v>0</v>
      </c>
      <c r="H2283" s="581"/>
      <c r="I2283" s="639" t="e">
        <f>F2283/C2283</f>
        <v>#DIV/0!</v>
      </c>
    </row>
    <row r="2284" spans="1:9" x14ac:dyDescent="0.25">
      <c r="A2284" s="575"/>
      <c r="B2284" s="583" t="s">
        <v>14</v>
      </c>
      <c r="C2284" s="584">
        <f>SUM(C2278:C2283)</f>
        <v>17537</v>
      </c>
      <c r="D2284" s="584">
        <f t="shared" ref="D2284" si="328">SUM(D2278:D2283)</f>
        <v>9168</v>
      </c>
      <c r="E2284" s="958">
        <f>SUM(E2278:E2283)</f>
        <v>10000.011</v>
      </c>
      <c r="F2284" s="584">
        <f t="shared" ref="F2284:H2284" si="329">SUM(F2278:F2283)</f>
        <v>0</v>
      </c>
      <c r="G2284" s="584">
        <f>SUM(G2278:G2283)</f>
        <v>10000</v>
      </c>
      <c r="H2284" s="584">
        <f t="shared" si="329"/>
        <v>0</v>
      </c>
      <c r="I2284" s="639">
        <f>F2284/C2284</f>
        <v>0</v>
      </c>
    </row>
    <row r="2285" spans="1:9" x14ac:dyDescent="0.25">
      <c r="A2285" s="575"/>
      <c r="B2285" s="583"/>
      <c r="C2285" s="581"/>
      <c r="D2285" s="581"/>
      <c r="E2285" s="901"/>
      <c r="F2285" s="581"/>
      <c r="G2285" s="581"/>
      <c r="H2285" s="581"/>
      <c r="I2285" s="581"/>
    </row>
    <row r="2286" spans="1:9" x14ac:dyDescent="0.25">
      <c r="A2286" s="575"/>
      <c r="B2286" s="561" t="s">
        <v>871</v>
      </c>
      <c r="C2286" s="581"/>
      <c r="D2286" s="581"/>
      <c r="E2286" s="901"/>
      <c r="F2286" s="581"/>
      <c r="G2286" s="581"/>
      <c r="H2286" s="581"/>
      <c r="I2286" s="581"/>
    </row>
    <row r="2287" spans="1:9" x14ac:dyDescent="0.25">
      <c r="A2287" s="575">
        <v>59437</v>
      </c>
      <c r="B2287" s="576" t="s">
        <v>872</v>
      </c>
      <c r="C2287" s="581">
        <v>0</v>
      </c>
      <c r="D2287" s="581">
        <v>0</v>
      </c>
      <c r="E2287" s="901">
        <v>0.01</v>
      </c>
      <c r="F2287" s="581">
        <v>0</v>
      </c>
      <c r="G2287" s="581">
        <v>0</v>
      </c>
      <c r="H2287" s="581">
        <v>0</v>
      </c>
      <c r="I2287" s="639" t="e">
        <f>F2287/C2287</f>
        <v>#DIV/0!</v>
      </c>
    </row>
    <row r="2288" spans="1:9" x14ac:dyDescent="0.25">
      <c r="A2288" s="575"/>
      <c r="B2288" s="583" t="s">
        <v>242</v>
      </c>
      <c r="C2288" s="587">
        <f>SUM(C2287)</f>
        <v>0</v>
      </c>
      <c r="D2288" s="587">
        <f t="shared" ref="D2288" si="330">SUM(D2287)</f>
        <v>0</v>
      </c>
      <c r="E2288" s="953">
        <f>SUM(E2287)</f>
        <v>0.01</v>
      </c>
      <c r="F2288" s="587">
        <f t="shared" ref="F2288:H2288" si="331">SUM(F2287)</f>
        <v>0</v>
      </c>
      <c r="G2288" s="587">
        <f>SUM(G2287)</f>
        <v>0</v>
      </c>
      <c r="H2288" s="587">
        <f t="shared" si="331"/>
        <v>0</v>
      </c>
      <c r="I2288" s="639" t="e">
        <f>F2288/C2288</f>
        <v>#DIV/0!</v>
      </c>
    </row>
    <row r="2289" spans="1:9" x14ac:dyDescent="0.25">
      <c r="A2289" s="575"/>
      <c r="B2289" s="583"/>
      <c r="C2289" s="581"/>
      <c r="D2289" s="587"/>
      <c r="E2289" s="901"/>
      <c r="F2289" s="581"/>
      <c r="G2289" s="581"/>
      <c r="H2289" s="581"/>
      <c r="I2289" s="581"/>
    </row>
    <row r="2290" spans="1:9" x14ac:dyDescent="0.25">
      <c r="A2290" s="575"/>
      <c r="B2290" s="561" t="s">
        <v>873</v>
      </c>
      <c r="C2290" s="581"/>
      <c r="D2290" s="581"/>
      <c r="E2290" s="901"/>
      <c r="F2290" s="581"/>
      <c r="G2290" s="581"/>
      <c r="H2290" s="581"/>
      <c r="I2290" s="581"/>
    </row>
    <row r="2291" spans="1:9" x14ac:dyDescent="0.25">
      <c r="A2291" s="575">
        <v>38102</v>
      </c>
      <c r="B2291" s="576" t="s">
        <v>874</v>
      </c>
      <c r="C2291" s="581">
        <v>385000</v>
      </c>
      <c r="D2291" s="581">
        <v>385000</v>
      </c>
      <c r="E2291" s="901">
        <v>420000</v>
      </c>
      <c r="F2291" s="581"/>
      <c r="G2291" s="581">
        <v>420000</v>
      </c>
      <c r="H2291" s="581"/>
      <c r="I2291" s="639">
        <f>F2291/C2291</f>
        <v>0</v>
      </c>
    </row>
    <row r="2292" spans="1:9" x14ac:dyDescent="0.25">
      <c r="A2292" s="575">
        <v>38103</v>
      </c>
      <c r="B2292" s="576" t="s">
        <v>875</v>
      </c>
      <c r="C2292" s="581">
        <v>25000</v>
      </c>
      <c r="D2292" s="581">
        <v>0</v>
      </c>
      <c r="E2292" s="901">
        <v>0</v>
      </c>
      <c r="F2292" s="581"/>
      <c r="G2292" s="581">
        <v>0</v>
      </c>
      <c r="H2292" s="581"/>
      <c r="I2292" s="639"/>
    </row>
    <row r="2293" spans="1:9" x14ac:dyDescent="0.25">
      <c r="A2293" s="575">
        <v>38106</v>
      </c>
      <c r="B2293" s="576" t="s">
        <v>876</v>
      </c>
      <c r="C2293" s="581"/>
      <c r="D2293" s="581">
        <v>0</v>
      </c>
      <c r="E2293" s="901">
        <v>0.01</v>
      </c>
      <c r="F2293" s="581"/>
      <c r="G2293" s="581">
        <v>0</v>
      </c>
      <c r="H2293" s="581"/>
      <c r="I2293" s="639" t="e">
        <f>F2293/C2293</f>
        <v>#DIV/0!</v>
      </c>
    </row>
    <row r="2294" spans="1:9" x14ac:dyDescent="0.25">
      <c r="A2294" s="575"/>
      <c r="B2294" s="576" t="s">
        <v>877</v>
      </c>
      <c r="C2294" s="581">
        <v>35000</v>
      </c>
      <c r="D2294" s="581">
        <v>0</v>
      </c>
      <c r="E2294" s="901">
        <v>0</v>
      </c>
      <c r="F2294" s="581"/>
      <c r="G2294" s="581"/>
      <c r="H2294" s="581"/>
      <c r="I2294" s="639">
        <f>F2294/C2294</f>
        <v>0</v>
      </c>
    </row>
    <row r="2295" spans="1:9" x14ac:dyDescent="0.25">
      <c r="A2295" s="575"/>
      <c r="B2295" s="583" t="s">
        <v>14</v>
      </c>
      <c r="C2295" s="587">
        <f>SUM(C2291:C2294)</f>
        <v>445000</v>
      </c>
      <c r="D2295" s="587">
        <f t="shared" ref="D2295" si="332">SUM(D2291:D2294)</f>
        <v>385000</v>
      </c>
      <c r="E2295" s="953">
        <f>SUM(E2291:E2294)</f>
        <v>420000.01</v>
      </c>
      <c r="F2295" s="587">
        <f t="shared" ref="F2295" si="333">SUM(F2291:F2294)</f>
        <v>0</v>
      </c>
      <c r="G2295" s="587">
        <f>SUM(G2291:G2294)</f>
        <v>420000</v>
      </c>
      <c r="H2295" s="587">
        <f>SUM(H2291:H2294)</f>
        <v>0</v>
      </c>
      <c r="I2295" s="639">
        <f>F2295/C2295</f>
        <v>0</v>
      </c>
    </row>
    <row r="2296" spans="1:9" x14ac:dyDescent="0.25">
      <c r="A2296" s="575"/>
      <c r="B2296" s="583"/>
      <c r="C2296" s="581"/>
      <c r="D2296" s="581"/>
      <c r="E2296" s="901"/>
      <c r="F2296" s="581"/>
      <c r="G2296" s="581"/>
      <c r="H2296" s="581"/>
      <c r="I2296" s="581"/>
    </row>
    <row r="2297" spans="1:9" x14ac:dyDescent="0.25">
      <c r="A2297" s="575"/>
      <c r="B2297" s="561" t="s">
        <v>88</v>
      </c>
      <c r="C2297" s="563">
        <f>C2247+C2256+C2263+C2273+C2276+C2284+C2288+C2295</f>
        <v>551180</v>
      </c>
      <c r="D2297" s="563">
        <f>D2247+D2256+D2263+D2273+D2276+D2284+D2288+D2295</f>
        <v>505199.56</v>
      </c>
      <c r="E2297" s="954">
        <f>E2247+E2256+E2263+E2273+E2276+E2284+E2288+E2295</f>
        <v>518643.13099999999</v>
      </c>
      <c r="F2297" s="563">
        <f t="shared" ref="F2297" si="334">F2247+F2256+F2263+F2273+F2276+F2284+F2288+F2295</f>
        <v>0</v>
      </c>
      <c r="G2297" s="563">
        <f>G2247+G2256+G2263+G2273+G2276+G2284+G2288+G2295</f>
        <v>518643.02</v>
      </c>
      <c r="H2297" s="563">
        <f>H2247+H2256+H2263+H2273+H2276+H2284+H2288+H2295</f>
        <v>0</v>
      </c>
      <c r="I2297" s="639">
        <f>F2297/C2297</f>
        <v>0</v>
      </c>
    </row>
    <row r="2298" spans="1:9" x14ac:dyDescent="0.25">
      <c r="A2298" s="575"/>
      <c r="B2298" s="561" t="s">
        <v>89</v>
      </c>
      <c r="C2298" s="563">
        <f t="shared" ref="C2298:H2298" si="335">C2242+C2297</f>
        <v>674831</v>
      </c>
      <c r="D2298" s="563">
        <f t="shared" si="335"/>
        <v>505199.56</v>
      </c>
      <c r="E2298" s="954">
        <f t="shared" si="335"/>
        <v>683474.13100000005</v>
      </c>
      <c r="F2298" s="563">
        <f t="shared" si="335"/>
        <v>0</v>
      </c>
      <c r="G2298" s="563">
        <f t="shared" si="335"/>
        <v>675131.65</v>
      </c>
      <c r="H2298" s="616">
        <f t="shared" si="335"/>
        <v>0</v>
      </c>
      <c r="I2298" s="639">
        <f>F2298/C2298</f>
        <v>0</v>
      </c>
    </row>
    <row r="2299" spans="1:9" x14ac:dyDescent="0.25">
      <c r="A2299" s="575"/>
      <c r="B2299" s="561" t="s">
        <v>878</v>
      </c>
      <c r="C2299" s="564"/>
      <c r="D2299" s="581"/>
      <c r="E2299" s="901"/>
      <c r="F2299" s="564"/>
      <c r="G2299" s="581"/>
      <c r="H2299" s="581"/>
      <c r="I2299" s="581"/>
    </row>
    <row r="2300" spans="1:9" x14ac:dyDescent="0.25">
      <c r="A2300" s="764" t="s">
        <v>879</v>
      </c>
      <c r="B2300" s="688" t="s">
        <v>534</v>
      </c>
      <c r="C2300" s="677">
        <v>2017</v>
      </c>
      <c r="D2300" s="765" t="s">
        <v>1236</v>
      </c>
      <c r="E2300" s="765">
        <v>2018</v>
      </c>
      <c r="F2300" s="677" t="s">
        <v>1236</v>
      </c>
      <c r="G2300" s="765" t="s">
        <v>4</v>
      </c>
      <c r="H2300" s="765">
        <v>2019</v>
      </c>
      <c r="I2300" s="766" t="s">
        <v>5</v>
      </c>
    </row>
    <row r="2301" spans="1:9" x14ac:dyDescent="0.25">
      <c r="A2301" s="575"/>
      <c r="B2301" s="576" t="s">
        <v>93</v>
      </c>
      <c r="C2301" s="677" t="s">
        <v>6</v>
      </c>
      <c r="D2301" s="678">
        <v>43069</v>
      </c>
      <c r="E2301" s="765" t="s">
        <v>6</v>
      </c>
      <c r="F2301" s="678">
        <v>43131</v>
      </c>
      <c r="G2301" s="678" t="s">
        <v>1131</v>
      </c>
      <c r="H2301" s="678" t="s">
        <v>6</v>
      </c>
      <c r="I2301" s="766" t="s">
        <v>92</v>
      </c>
    </row>
    <row r="2302" spans="1:9" x14ac:dyDescent="0.25">
      <c r="A2302" s="575"/>
      <c r="B2302" s="576"/>
      <c r="C2302" s="578"/>
      <c r="D2302" s="593"/>
      <c r="E2302" s="934"/>
      <c r="F2302" s="564"/>
      <c r="G2302" s="581"/>
      <c r="H2302" s="581"/>
      <c r="I2302" s="581"/>
    </row>
    <row r="2303" spans="1:9" x14ac:dyDescent="0.25">
      <c r="A2303" s="590">
        <v>40100</v>
      </c>
      <c r="B2303" s="576" t="s">
        <v>408</v>
      </c>
      <c r="C2303" s="581">
        <v>246017</v>
      </c>
      <c r="D2303" s="581">
        <f>189289.15+14701.77+9521.68+1970.99</f>
        <v>215483.58999999997</v>
      </c>
      <c r="E2303" s="901">
        <v>251924</v>
      </c>
      <c r="F2303" s="581"/>
      <c r="G2303" s="581">
        <v>251924</v>
      </c>
      <c r="H2303" s="581"/>
      <c r="I2303" s="639">
        <f t="shared" ref="I2303:I2334" si="336">F2303/C2303</f>
        <v>0</v>
      </c>
    </row>
    <row r="2304" spans="1:9" x14ac:dyDescent="0.25">
      <c r="A2304" s="590">
        <v>40110</v>
      </c>
      <c r="B2304" s="576" t="s">
        <v>380</v>
      </c>
      <c r="C2304" s="581">
        <v>17000</v>
      </c>
      <c r="D2304" s="581">
        <v>20846.05</v>
      </c>
      <c r="E2304" s="901">
        <v>17000</v>
      </c>
      <c r="F2304" s="581"/>
      <c r="G2304" s="581">
        <v>17000</v>
      </c>
      <c r="H2304" s="581"/>
      <c r="I2304" s="639">
        <f t="shared" si="336"/>
        <v>0</v>
      </c>
    </row>
    <row r="2305" spans="1:9" x14ac:dyDescent="0.25">
      <c r="A2305" s="590">
        <v>40210</v>
      </c>
      <c r="B2305" s="576" t="s">
        <v>206</v>
      </c>
      <c r="C2305" s="581">
        <v>14000</v>
      </c>
      <c r="D2305" s="581">
        <v>9233.4699999999993</v>
      </c>
      <c r="E2305" s="901">
        <v>14000</v>
      </c>
      <c r="F2305" s="581"/>
      <c r="G2305" s="581">
        <v>14000</v>
      </c>
      <c r="H2305" s="581"/>
      <c r="I2305" s="639">
        <f t="shared" si="336"/>
        <v>0</v>
      </c>
    </row>
    <row r="2306" spans="1:9" x14ac:dyDescent="0.25">
      <c r="A2306" s="590">
        <v>41410</v>
      </c>
      <c r="B2306" s="576" t="s">
        <v>478</v>
      </c>
      <c r="C2306" s="581">
        <v>798</v>
      </c>
      <c r="D2306" s="581">
        <v>552.58000000000004</v>
      </c>
      <c r="E2306" s="901">
        <v>798</v>
      </c>
      <c r="F2306" s="581"/>
      <c r="G2306" s="581">
        <v>798</v>
      </c>
      <c r="H2306" s="581"/>
      <c r="I2306" s="639">
        <f t="shared" si="336"/>
        <v>0</v>
      </c>
    </row>
    <row r="2307" spans="1:9" x14ac:dyDescent="0.25">
      <c r="A2307" s="590">
        <v>41420</v>
      </c>
      <c r="B2307" s="576" t="s">
        <v>180</v>
      </c>
      <c r="C2307" s="581">
        <v>7854</v>
      </c>
      <c r="D2307" s="581">
        <v>7854</v>
      </c>
      <c r="E2307" s="901">
        <v>7854</v>
      </c>
      <c r="F2307" s="581"/>
      <c r="G2307" s="581">
        <v>7854</v>
      </c>
      <c r="H2307" s="581"/>
      <c r="I2307" s="639">
        <f t="shared" si="336"/>
        <v>0</v>
      </c>
    </row>
    <row r="2308" spans="1:9" x14ac:dyDescent="0.25">
      <c r="A2308" s="590">
        <v>41430</v>
      </c>
      <c r="B2308" s="576" t="s">
        <v>98</v>
      </c>
      <c r="C2308" s="581">
        <v>39217</v>
      </c>
      <c r="D2308" s="581">
        <v>34563.1</v>
      </c>
      <c r="E2308" s="901">
        <v>39217</v>
      </c>
      <c r="F2308" s="581"/>
      <c r="G2308" s="581">
        <v>39217</v>
      </c>
      <c r="H2308" s="581"/>
      <c r="I2308" s="639">
        <f t="shared" si="336"/>
        <v>0</v>
      </c>
    </row>
    <row r="2309" spans="1:9" x14ac:dyDescent="0.25">
      <c r="A2309" s="590">
        <v>41435</v>
      </c>
      <c r="B2309" s="576" t="s">
        <v>121</v>
      </c>
      <c r="C2309" s="581">
        <v>4937</v>
      </c>
      <c r="D2309" s="581">
        <v>4525.95</v>
      </c>
      <c r="E2309" s="901">
        <f>411.45*12</f>
        <v>4937.3999999999996</v>
      </c>
      <c r="F2309" s="581"/>
      <c r="G2309" s="581">
        <v>4937.3999999999996</v>
      </c>
      <c r="H2309" s="581"/>
      <c r="I2309" s="639">
        <f t="shared" si="336"/>
        <v>0</v>
      </c>
    </row>
    <row r="2310" spans="1:9" x14ac:dyDescent="0.25">
      <c r="A2310" s="590">
        <v>41440</v>
      </c>
      <c r="B2310" s="576" t="s">
        <v>100</v>
      </c>
      <c r="C2310" s="581">
        <v>17175</v>
      </c>
      <c r="D2310" s="581">
        <v>13828.09</v>
      </c>
      <c r="E2310" s="901">
        <v>17541</v>
      </c>
      <c r="F2310" s="581"/>
      <c r="G2310" s="581">
        <v>17541</v>
      </c>
      <c r="H2310" s="581"/>
      <c r="I2310" s="639">
        <f t="shared" si="336"/>
        <v>0</v>
      </c>
    </row>
    <row r="2311" spans="1:9" x14ac:dyDescent="0.25">
      <c r="A2311" s="590">
        <v>41450</v>
      </c>
      <c r="B2311" s="576" t="s">
        <v>101</v>
      </c>
      <c r="C2311" s="581">
        <v>4017</v>
      </c>
      <c r="D2311" s="581">
        <v>3233.98</v>
      </c>
      <c r="E2311" s="901">
        <v>4105</v>
      </c>
      <c r="F2311" s="581"/>
      <c r="G2311" s="581">
        <v>4105</v>
      </c>
      <c r="H2311" s="581"/>
      <c r="I2311" s="639">
        <f t="shared" si="336"/>
        <v>0</v>
      </c>
    </row>
    <row r="2312" spans="1:9" x14ac:dyDescent="0.25">
      <c r="A2312" s="590">
        <v>41470</v>
      </c>
      <c r="B2312" s="576" t="s">
        <v>102</v>
      </c>
      <c r="C2312" s="581">
        <v>144</v>
      </c>
      <c r="D2312" s="581">
        <v>113.52</v>
      </c>
      <c r="E2312" s="901">
        <v>144</v>
      </c>
      <c r="F2312" s="581"/>
      <c r="G2312" s="581">
        <v>144</v>
      </c>
      <c r="H2312" s="581"/>
      <c r="I2312" s="639">
        <f t="shared" si="336"/>
        <v>0</v>
      </c>
    </row>
    <row r="2313" spans="1:9" x14ac:dyDescent="0.25">
      <c r="A2313" s="590">
        <v>50310</v>
      </c>
      <c r="B2313" s="576" t="s">
        <v>383</v>
      </c>
      <c r="C2313" s="581">
        <v>15000</v>
      </c>
      <c r="D2313" s="581">
        <v>11066.04</v>
      </c>
      <c r="E2313" s="901">
        <v>12500</v>
      </c>
      <c r="F2313" s="581"/>
      <c r="G2313" s="581">
        <v>12500</v>
      </c>
      <c r="H2313" s="581"/>
      <c r="I2313" s="639">
        <f t="shared" si="336"/>
        <v>0</v>
      </c>
    </row>
    <row r="2314" spans="1:9" x14ac:dyDescent="0.25">
      <c r="A2314" s="590">
        <v>50311</v>
      </c>
      <c r="B2314" s="576" t="s">
        <v>285</v>
      </c>
      <c r="C2314" s="581">
        <v>3500</v>
      </c>
      <c r="D2314" s="581">
        <v>3248.13</v>
      </c>
      <c r="E2314" s="901">
        <v>3500</v>
      </c>
      <c r="F2314" s="581"/>
      <c r="G2314" s="581">
        <v>3500</v>
      </c>
      <c r="H2314" s="581"/>
      <c r="I2314" s="639">
        <f t="shared" si="336"/>
        <v>0</v>
      </c>
    </row>
    <row r="2315" spans="1:9" x14ac:dyDescent="0.25">
      <c r="A2315" s="590">
        <v>50312</v>
      </c>
      <c r="B2315" s="576" t="s">
        <v>384</v>
      </c>
      <c r="C2315" s="581">
        <v>3000</v>
      </c>
      <c r="D2315" s="581">
        <v>1813.96</v>
      </c>
      <c r="E2315" s="901">
        <v>1500</v>
      </c>
      <c r="F2315" s="581"/>
      <c r="G2315" s="581">
        <v>1500</v>
      </c>
      <c r="H2315" s="581"/>
      <c r="I2315" s="639">
        <f t="shared" si="336"/>
        <v>0</v>
      </c>
    </row>
    <row r="2316" spans="1:9" x14ac:dyDescent="0.25">
      <c r="A2316" s="590">
        <v>54110</v>
      </c>
      <c r="B2316" s="576" t="s">
        <v>288</v>
      </c>
      <c r="C2316" s="581">
        <v>1050</v>
      </c>
      <c r="D2316" s="581">
        <v>746.84</v>
      </c>
      <c r="E2316" s="901">
        <v>1050</v>
      </c>
      <c r="F2316" s="581"/>
      <c r="G2316" s="581">
        <v>1050</v>
      </c>
      <c r="H2316" s="581"/>
      <c r="I2316" s="639">
        <f t="shared" si="336"/>
        <v>0</v>
      </c>
    </row>
    <row r="2317" spans="1:9" x14ac:dyDescent="0.25">
      <c r="A2317" s="590">
        <v>54114</v>
      </c>
      <c r="B2317" s="576" t="s">
        <v>880</v>
      </c>
      <c r="C2317" s="581">
        <v>10000</v>
      </c>
      <c r="D2317" s="581">
        <v>5616.61</v>
      </c>
      <c r="E2317" s="901">
        <v>10000</v>
      </c>
      <c r="F2317" s="581"/>
      <c r="G2317" s="581">
        <v>10000</v>
      </c>
      <c r="H2317" s="581"/>
      <c r="I2317" s="639">
        <f t="shared" si="336"/>
        <v>0</v>
      </c>
    </row>
    <row r="2318" spans="1:9" x14ac:dyDescent="0.25">
      <c r="A2318" s="590">
        <v>54120</v>
      </c>
      <c r="B2318" s="576" t="s">
        <v>104</v>
      </c>
      <c r="C2318" s="581">
        <v>1170</v>
      </c>
      <c r="D2318" s="581">
        <v>1291.0999999999999</v>
      </c>
      <c r="E2318" s="901">
        <v>1200</v>
      </c>
      <c r="F2318" s="581"/>
      <c r="G2318" s="581">
        <v>1200</v>
      </c>
      <c r="H2318" s="581"/>
      <c r="I2318" s="639">
        <f t="shared" si="336"/>
        <v>0</v>
      </c>
    </row>
    <row r="2319" spans="1:9" x14ac:dyDescent="0.25">
      <c r="A2319" s="590">
        <v>54212</v>
      </c>
      <c r="B2319" s="576" t="s">
        <v>289</v>
      </c>
      <c r="C2319" s="581">
        <v>18000</v>
      </c>
      <c r="D2319" s="581">
        <v>14743.57</v>
      </c>
      <c r="E2319" s="901">
        <v>4000</v>
      </c>
      <c r="F2319" s="581"/>
      <c r="G2319" s="581">
        <v>4000</v>
      </c>
      <c r="H2319" s="581"/>
      <c r="I2319" s="639">
        <f t="shared" si="336"/>
        <v>0</v>
      </c>
    </row>
    <row r="2320" spans="1:9" x14ac:dyDescent="0.25">
      <c r="A2320" s="590">
        <v>59120</v>
      </c>
      <c r="B2320" s="576" t="s">
        <v>881</v>
      </c>
      <c r="C2320" s="581">
        <v>3000</v>
      </c>
      <c r="D2320" s="581">
        <v>2048.87</v>
      </c>
      <c r="E2320" s="901">
        <v>3000</v>
      </c>
      <c r="F2320" s="581"/>
      <c r="G2320" s="581">
        <v>3000</v>
      </c>
      <c r="H2320" s="581"/>
      <c r="I2320" s="639">
        <f t="shared" si="336"/>
        <v>0</v>
      </c>
    </row>
    <row r="2321" spans="1:9" x14ac:dyDescent="0.25">
      <c r="A2321" s="590">
        <v>59394</v>
      </c>
      <c r="B2321" s="576" t="s">
        <v>882</v>
      </c>
      <c r="C2321" s="581">
        <v>300</v>
      </c>
      <c r="D2321" s="581">
        <v>300</v>
      </c>
      <c r="E2321" s="901">
        <v>300</v>
      </c>
      <c r="F2321" s="581"/>
      <c r="G2321" s="581">
        <v>300</v>
      </c>
      <c r="H2321" s="581"/>
      <c r="I2321" s="639">
        <f t="shared" si="336"/>
        <v>0</v>
      </c>
    </row>
    <row r="2322" spans="1:9" x14ac:dyDescent="0.25">
      <c r="A2322" s="590">
        <v>59437</v>
      </c>
      <c r="B2322" s="576" t="s">
        <v>883</v>
      </c>
      <c r="C2322" s="581">
        <v>0</v>
      </c>
      <c r="D2322" s="581">
        <v>1740</v>
      </c>
      <c r="E2322" s="901">
        <v>0</v>
      </c>
      <c r="F2322" s="581"/>
      <c r="G2322" s="581">
        <v>0</v>
      </c>
      <c r="H2322" s="581"/>
      <c r="I2322" s="639" t="e">
        <f t="shared" si="336"/>
        <v>#DIV/0!</v>
      </c>
    </row>
    <row r="2323" spans="1:9" x14ac:dyDescent="0.25">
      <c r="A2323" s="590">
        <v>59500</v>
      </c>
      <c r="B2323" s="576" t="s">
        <v>832</v>
      </c>
      <c r="C2323" s="581">
        <v>8000</v>
      </c>
      <c r="D2323" s="581">
        <v>7089.11</v>
      </c>
      <c r="E2323" s="901">
        <v>8000</v>
      </c>
      <c r="F2323" s="581"/>
      <c r="G2323" s="581">
        <v>8000</v>
      </c>
      <c r="H2323" s="581"/>
      <c r="I2323" s="639">
        <f t="shared" si="336"/>
        <v>0</v>
      </c>
    </row>
    <row r="2324" spans="1:9" x14ac:dyDescent="0.25">
      <c r="A2324" s="590">
        <v>59532</v>
      </c>
      <c r="B2324" s="576" t="s">
        <v>884</v>
      </c>
      <c r="C2324" s="581">
        <v>0</v>
      </c>
      <c r="D2324" s="581">
        <v>750</v>
      </c>
      <c r="E2324" s="901">
        <v>0</v>
      </c>
      <c r="F2324" s="581"/>
      <c r="G2324" s="581">
        <v>0</v>
      </c>
      <c r="H2324" s="581"/>
      <c r="I2324" s="639" t="e">
        <f t="shared" si="336"/>
        <v>#DIV/0!</v>
      </c>
    </row>
    <row r="2325" spans="1:9" x14ac:dyDescent="0.25">
      <c r="A2325" s="590">
        <v>59535</v>
      </c>
      <c r="B2325" s="576" t="s">
        <v>885</v>
      </c>
      <c r="C2325" s="581">
        <v>2500</v>
      </c>
      <c r="D2325" s="581">
        <v>607.36</v>
      </c>
      <c r="E2325" s="901">
        <v>2000</v>
      </c>
      <c r="F2325" s="581"/>
      <c r="G2325" s="581">
        <v>2000</v>
      </c>
      <c r="H2325" s="581"/>
      <c r="I2325" s="639">
        <f t="shared" si="336"/>
        <v>0</v>
      </c>
    </row>
    <row r="2326" spans="1:9" x14ac:dyDescent="0.25">
      <c r="A2326" s="590">
        <v>59536</v>
      </c>
      <c r="B2326" s="576" t="s">
        <v>886</v>
      </c>
      <c r="C2326" s="581">
        <v>5000</v>
      </c>
      <c r="D2326" s="581">
        <v>16792.47</v>
      </c>
      <c r="E2326" s="901">
        <v>0</v>
      </c>
      <c r="F2326" s="581"/>
      <c r="G2326" s="581">
        <v>0</v>
      </c>
      <c r="H2326" s="581"/>
      <c r="I2326" s="639">
        <f t="shared" si="336"/>
        <v>0</v>
      </c>
    </row>
    <row r="2327" spans="1:9" x14ac:dyDescent="0.25">
      <c r="A2327" s="590">
        <v>59539</v>
      </c>
      <c r="B2327" s="576" t="s">
        <v>887</v>
      </c>
      <c r="C2327" s="581"/>
      <c r="D2327" s="581">
        <v>0</v>
      </c>
      <c r="E2327" s="901">
        <v>0.01</v>
      </c>
      <c r="F2327" s="581"/>
      <c r="G2327" s="581">
        <v>0</v>
      </c>
      <c r="H2327" s="581"/>
      <c r="I2327" s="639" t="e">
        <f t="shared" si="336"/>
        <v>#DIV/0!</v>
      </c>
    </row>
    <row r="2328" spans="1:9" x14ac:dyDescent="0.25">
      <c r="A2328" s="590">
        <v>59850</v>
      </c>
      <c r="B2328" s="576" t="s">
        <v>888</v>
      </c>
      <c r="C2328" s="581">
        <v>20000</v>
      </c>
      <c r="D2328" s="581">
        <v>2384</v>
      </c>
      <c r="E2328" s="901">
        <v>10000</v>
      </c>
      <c r="F2328" s="581"/>
      <c r="G2328" s="581">
        <v>10000</v>
      </c>
      <c r="H2328" s="581"/>
      <c r="I2328" s="639">
        <f t="shared" si="336"/>
        <v>0</v>
      </c>
    </row>
    <row r="2329" spans="1:9" x14ac:dyDescent="0.25">
      <c r="A2329" s="590">
        <v>60000</v>
      </c>
      <c r="B2329" s="576" t="s">
        <v>106</v>
      </c>
      <c r="C2329" s="581">
        <v>300</v>
      </c>
      <c r="D2329" s="581">
        <v>0</v>
      </c>
      <c r="E2329" s="901">
        <v>300</v>
      </c>
      <c r="F2329" s="581"/>
      <c r="G2329" s="581">
        <v>300</v>
      </c>
      <c r="H2329" s="581"/>
      <c r="I2329" s="639">
        <f t="shared" si="336"/>
        <v>0</v>
      </c>
    </row>
    <row r="2330" spans="1:9" x14ac:dyDescent="0.25">
      <c r="A2330" s="590">
        <v>61200</v>
      </c>
      <c r="B2330" s="576" t="s">
        <v>889</v>
      </c>
      <c r="C2330" s="581">
        <v>50</v>
      </c>
      <c r="D2330" s="581">
        <v>0</v>
      </c>
      <c r="E2330" s="901">
        <v>50</v>
      </c>
      <c r="F2330" s="581"/>
      <c r="G2330" s="581">
        <v>50</v>
      </c>
      <c r="H2330" s="581"/>
      <c r="I2330" s="639">
        <f t="shared" si="336"/>
        <v>0</v>
      </c>
    </row>
    <row r="2331" spans="1:9" x14ac:dyDescent="0.25">
      <c r="A2331" s="590">
        <v>62310</v>
      </c>
      <c r="B2331" s="576" t="s">
        <v>108</v>
      </c>
      <c r="C2331" s="581">
        <v>350</v>
      </c>
      <c r="D2331" s="581">
        <v>99.34</v>
      </c>
      <c r="E2331" s="901">
        <v>300</v>
      </c>
      <c r="F2331" s="581"/>
      <c r="G2331" s="581">
        <v>300</v>
      </c>
      <c r="H2331" s="581"/>
      <c r="I2331" s="639">
        <f t="shared" si="336"/>
        <v>0</v>
      </c>
    </row>
    <row r="2332" spans="1:9" x14ac:dyDescent="0.25">
      <c r="A2332" s="590">
        <v>62500</v>
      </c>
      <c r="B2332" s="576" t="s">
        <v>109</v>
      </c>
      <c r="C2332" s="581">
        <v>1300</v>
      </c>
      <c r="D2332" s="581">
        <v>211.41</v>
      </c>
      <c r="E2332" s="901">
        <v>1300</v>
      </c>
      <c r="F2332" s="581"/>
      <c r="G2332" s="581">
        <v>1300</v>
      </c>
      <c r="H2332" s="581"/>
      <c r="I2332" s="639">
        <f t="shared" si="336"/>
        <v>0</v>
      </c>
    </row>
    <row r="2333" spans="1:9" x14ac:dyDescent="0.25">
      <c r="A2333" s="590">
        <v>62510</v>
      </c>
      <c r="B2333" s="576" t="s">
        <v>110</v>
      </c>
      <c r="C2333" s="581">
        <v>2800</v>
      </c>
      <c r="D2333" s="581">
        <v>3227.73</v>
      </c>
      <c r="E2333" s="901">
        <v>3000</v>
      </c>
      <c r="F2333" s="581"/>
      <c r="G2333" s="581">
        <v>3000</v>
      </c>
      <c r="H2333" s="581"/>
      <c r="I2333" s="639">
        <f t="shared" si="336"/>
        <v>0</v>
      </c>
    </row>
    <row r="2334" spans="1:9" x14ac:dyDescent="0.25">
      <c r="A2334" s="590">
        <v>62530</v>
      </c>
      <c r="B2334" s="576" t="s">
        <v>171</v>
      </c>
      <c r="C2334" s="581">
        <v>4400</v>
      </c>
      <c r="D2334" s="581">
        <v>2153.9</v>
      </c>
      <c r="E2334" s="901">
        <v>4400</v>
      </c>
      <c r="F2334" s="581"/>
      <c r="G2334" s="581">
        <v>4400</v>
      </c>
      <c r="H2334" s="581"/>
      <c r="I2334" s="639">
        <f t="shared" si="336"/>
        <v>0</v>
      </c>
    </row>
    <row r="2335" spans="1:9" x14ac:dyDescent="0.25">
      <c r="A2335" s="590">
        <v>62550</v>
      </c>
      <c r="B2335" s="576" t="s">
        <v>184</v>
      </c>
      <c r="C2335" s="581">
        <v>2000</v>
      </c>
      <c r="D2335" s="581">
        <v>375</v>
      </c>
      <c r="E2335" s="901">
        <v>4500</v>
      </c>
      <c r="F2335" s="581"/>
      <c r="G2335" s="581">
        <v>4500</v>
      </c>
      <c r="H2335" s="581"/>
      <c r="I2335" s="639">
        <f t="shared" ref="I2335:I2355" si="337">F2335/C2335</f>
        <v>0</v>
      </c>
    </row>
    <row r="2336" spans="1:9" x14ac:dyDescent="0.25">
      <c r="A2336" s="590">
        <v>63100</v>
      </c>
      <c r="B2336" s="576" t="s">
        <v>389</v>
      </c>
      <c r="C2336" s="581">
        <v>1500</v>
      </c>
      <c r="D2336" s="581">
        <v>1316</v>
      </c>
      <c r="E2336" s="901">
        <v>1500</v>
      </c>
      <c r="F2336" s="581"/>
      <c r="G2336" s="581">
        <v>1500</v>
      </c>
      <c r="H2336" s="581"/>
      <c r="I2336" s="639">
        <f t="shared" si="337"/>
        <v>0</v>
      </c>
    </row>
    <row r="2337" spans="1:9" x14ac:dyDescent="0.25">
      <c r="A2337" s="590">
        <v>63263</v>
      </c>
      <c r="B2337" s="576" t="s">
        <v>227</v>
      </c>
      <c r="C2337" s="581">
        <v>0</v>
      </c>
      <c r="D2337" s="581">
        <v>7090.62</v>
      </c>
      <c r="E2337" s="901">
        <v>0</v>
      </c>
      <c r="F2337" s="581"/>
      <c r="G2337" s="581">
        <v>0</v>
      </c>
      <c r="H2337" s="581"/>
      <c r="I2337" s="639" t="e">
        <f t="shared" si="337"/>
        <v>#DIV/0!</v>
      </c>
    </row>
    <row r="2338" spans="1:9" x14ac:dyDescent="0.25">
      <c r="A2338" s="590">
        <v>63310</v>
      </c>
      <c r="B2338" s="576" t="s">
        <v>111</v>
      </c>
      <c r="C2338" s="581">
        <v>0</v>
      </c>
      <c r="D2338" s="581">
        <v>0</v>
      </c>
      <c r="E2338" s="901">
        <v>0.01</v>
      </c>
      <c r="F2338" s="581"/>
      <c r="G2338" s="581">
        <v>0</v>
      </c>
      <c r="H2338" s="581"/>
      <c r="I2338" s="639" t="e">
        <f t="shared" si="337"/>
        <v>#DIV/0!</v>
      </c>
    </row>
    <row r="2339" spans="1:9" x14ac:dyDescent="0.25">
      <c r="A2339" s="590">
        <v>63387</v>
      </c>
      <c r="B2339" s="576" t="s">
        <v>671</v>
      </c>
      <c r="C2339" s="581">
        <v>17395</v>
      </c>
      <c r="D2339" s="581">
        <v>17395</v>
      </c>
      <c r="E2339" s="901">
        <v>20000</v>
      </c>
      <c r="F2339" s="581"/>
      <c r="G2339" s="581">
        <v>20000</v>
      </c>
      <c r="H2339" s="581"/>
      <c r="I2339" s="639">
        <f t="shared" si="337"/>
        <v>0</v>
      </c>
    </row>
    <row r="2340" spans="1:9" x14ac:dyDescent="0.25">
      <c r="A2340" s="590">
        <v>64100</v>
      </c>
      <c r="B2340" s="576" t="s">
        <v>890</v>
      </c>
      <c r="C2340" s="581">
        <v>3000</v>
      </c>
      <c r="D2340" s="581">
        <v>2517.13</v>
      </c>
      <c r="E2340" s="901">
        <v>2500</v>
      </c>
      <c r="F2340" s="581"/>
      <c r="G2340" s="581">
        <v>2500</v>
      </c>
      <c r="H2340" s="581"/>
      <c r="I2340" s="639">
        <f t="shared" si="337"/>
        <v>0</v>
      </c>
    </row>
    <row r="2341" spans="1:9" x14ac:dyDescent="0.25">
      <c r="A2341" s="590">
        <v>64471</v>
      </c>
      <c r="B2341" s="576" t="s">
        <v>891</v>
      </c>
      <c r="C2341" s="581">
        <v>4500</v>
      </c>
      <c r="D2341" s="581">
        <v>3114</v>
      </c>
      <c r="E2341" s="901">
        <v>7500</v>
      </c>
      <c r="F2341" s="581"/>
      <c r="G2341" s="581">
        <v>7500</v>
      </c>
      <c r="H2341" s="581"/>
      <c r="I2341" s="639">
        <f t="shared" si="337"/>
        <v>0</v>
      </c>
    </row>
    <row r="2342" spans="1:9" x14ac:dyDescent="0.25">
      <c r="A2342" s="590">
        <v>64500</v>
      </c>
      <c r="B2342" s="576" t="s">
        <v>147</v>
      </c>
      <c r="C2342" s="581">
        <v>390</v>
      </c>
      <c r="D2342" s="581">
        <v>0</v>
      </c>
      <c r="E2342" s="901">
        <v>0</v>
      </c>
      <c r="F2342" s="581"/>
      <c r="G2342" s="581">
        <v>0</v>
      </c>
      <c r="H2342" s="581"/>
      <c r="I2342" s="639">
        <f t="shared" si="337"/>
        <v>0</v>
      </c>
    </row>
    <row r="2343" spans="1:9" x14ac:dyDescent="0.25">
      <c r="A2343" s="590">
        <v>65400</v>
      </c>
      <c r="B2343" s="576" t="s">
        <v>892</v>
      </c>
      <c r="C2343" s="581">
        <v>0</v>
      </c>
      <c r="D2343" s="581">
        <v>65.040000000000006</v>
      </c>
      <c r="E2343" s="901">
        <v>65</v>
      </c>
      <c r="F2343" s="581"/>
      <c r="G2343" s="581">
        <v>65</v>
      </c>
      <c r="H2343" s="581"/>
      <c r="I2343" s="639" t="e">
        <f t="shared" si="337"/>
        <v>#DIV/0!</v>
      </c>
    </row>
    <row r="2344" spans="1:9" x14ac:dyDescent="0.25">
      <c r="A2344" s="590">
        <v>65500</v>
      </c>
      <c r="B2344" s="576" t="s">
        <v>187</v>
      </c>
      <c r="C2344" s="581">
        <v>9000</v>
      </c>
      <c r="D2344" s="581">
        <v>8813.77</v>
      </c>
      <c r="E2344" s="901">
        <v>9000</v>
      </c>
      <c r="F2344" s="581"/>
      <c r="G2344" s="581">
        <v>9000</v>
      </c>
      <c r="H2344" s="581"/>
      <c r="I2344" s="639">
        <f t="shared" si="337"/>
        <v>0</v>
      </c>
    </row>
    <row r="2345" spans="1:9" x14ac:dyDescent="0.25">
      <c r="A2345" s="590">
        <v>65905</v>
      </c>
      <c r="B2345" s="576" t="s">
        <v>393</v>
      </c>
      <c r="C2345" s="581">
        <v>0</v>
      </c>
      <c r="D2345" s="581">
        <v>0</v>
      </c>
      <c r="E2345" s="901">
        <v>0</v>
      </c>
      <c r="F2345" s="581"/>
      <c r="G2345" s="581">
        <v>0</v>
      </c>
      <c r="H2345" s="581"/>
      <c r="I2345" s="639" t="e">
        <f t="shared" si="337"/>
        <v>#DIV/0!</v>
      </c>
    </row>
    <row r="2346" spans="1:9" x14ac:dyDescent="0.25">
      <c r="A2346" s="590">
        <v>66100</v>
      </c>
      <c r="B2346" s="576" t="s">
        <v>155</v>
      </c>
      <c r="C2346" s="581">
        <v>3403</v>
      </c>
      <c r="D2346" s="581">
        <v>3960.33</v>
      </c>
      <c r="E2346" s="901">
        <v>4000</v>
      </c>
      <c r="F2346" s="581"/>
      <c r="G2346" s="581">
        <v>4000</v>
      </c>
      <c r="H2346" s="581"/>
      <c r="I2346" s="639">
        <f t="shared" si="337"/>
        <v>0</v>
      </c>
    </row>
    <row r="2347" spans="1:9" x14ac:dyDescent="0.25">
      <c r="A2347" s="590">
        <v>68000</v>
      </c>
      <c r="B2347" s="576" t="s">
        <v>165</v>
      </c>
      <c r="C2347" s="581">
        <v>500</v>
      </c>
      <c r="D2347" s="581">
        <v>256.01</v>
      </c>
      <c r="E2347" s="901">
        <v>500</v>
      </c>
      <c r="F2347" s="581"/>
      <c r="G2347" s="581">
        <v>500</v>
      </c>
      <c r="H2347" s="581"/>
      <c r="I2347" s="639">
        <f t="shared" si="337"/>
        <v>0</v>
      </c>
    </row>
    <row r="2348" spans="1:9" x14ac:dyDescent="0.25">
      <c r="A2348" s="590">
        <v>68010</v>
      </c>
      <c r="B2348" s="576" t="s">
        <v>195</v>
      </c>
      <c r="C2348" s="581">
        <v>2063</v>
      </c>
      <c r="D2348" s="581">
        <v>2265.27</v>
      </c>
      <c r="E2348" s="901">
        <v>2500</v>
      </c>
      <c r="F2348" s="581"/>
      <c r="G2348" s="581">
        <v>2500</v>
      </c>
      <c r="H2348" s="581"/>
      <c r="I2348" s="639">
        <f t="shared" si="337"/>
        <v>0</v>
      </c>
    </row>
    <row r="2349" spans="1:9" x14ac:dyDescent="0.25">
      <c r="A2349" s="590">
        <v>69390</v>
      </c>
      <c r="B2349" s="576" t="s">
        <v>893</v>
      </c>
      <c r="C2349" s="581">
        <v>4000</v>
      </c>
      <c r="D2349" s="581">
        <v>22290</v>
      </c>
      <c r="E2349" s="901">
        <v>0</v>
      </c>
      <c r="F2349" s="581"/>
      <c r="G2349" s="581">
        <v>0</v>
      </c>
      <c r="H2349" s="581"/>
      <c r="I2349" s="639">
        <f t="shared" si="337"/>
        <v>0</v>
      </c>
    </row>
    <row r="2350" spans="1:9" x14ac:dyDescent="0.25">
      <c r="A2350" s="590">
        <v>69391</v>
      </c>
      <c r="B2350" s="576" t="s">
        <v>894</v>
      </c>
      <c r="C2350" s="581">
        <v>0</v>
      </c>
      <c r="D2350" s="581">
        <v>0</v>
      </c>
      <c r="E2350" s="901">
        <v>0.01</v>
      </c>
      <c r="F2350" s="581"/>
      <c r="G2350" s="581">
        <v>0</v>
      </c>
      <c r="H2350" s="581"/>
      <c r="I2350" s="639" t="e">
        <f t="shared" si="337"/>
        <v>#DIV/0!</v>
      </c>
    </row>
    <row r="2351" spans="1:9" x14ac:dyDescent="0.25">
      <c r="A2351" s="590">
        <v>69612</v>
      </c>
      <c r="B2351" s="576" t="s">
        <v>895</v>
      </c>
      <c r="C2351" s="581">
        <v>0</v>
      </c>
      <c r="D2351" s="581">
        <v>0</v>
      </c>
      <c r="E2351" s="901">
        <v>0.01</v>
      </c>
      <c r="F2351" s="581"/>
      <c r="G2351" s="581">
        <v>0</v>
      </c>
      <c r="H2351" s="581"/>
      <c r="I2351" s="639" t="e">
        <f t="shared" si="337"/>
        <v>#DIV/0!</v>
      </c>
    </row>
    <row r="2352" spans="1:9" x14ac:dyDescent="0.25">
      <c r="A2352" s="590">
        <v>69889</v>
      </c>
      <c r="B2352" s="576" t="s">
        <v>896</v>
      </c>
      <c r="C2352" s="581">
        <v>0</v>
      </c>
      <c r="D2352" s="581">
        <v>0</v>
      </c>
      <c r="E2352" s="901">
        <v>1E-3</v>
      </c>
      <c r="F2352" s="581"/>
      <c r="G2352" s="581">
        <v>0</v>
      </c>
      <c r="H2352" s="581"/>
      <c r="I2352" s="639" t="e">
        <f t="shared" si="337"/>
        <v>#DIV/0!</v>
      </c>
    </row>
    <row r="2353" spans="1:9" x14ac:dyDescent="0.25">
      <c r="A2353" s="590">
        <v>69393</v>
      </c>
      <c r="B2353" s="576" t="s">
        <v>897</v>
      </c>
      <c r="C2353" s="581">
        <v>10000</v>
      </c>
      <c r="D2353" s="581">
        <v>8666.65</v>
      </c>
      <c r="E2353" s="901">
        <v>0</v>
      </c>
      <c r="F2353" s="581"/>
      <c r="G2353" s="581">
        <v>0</v>
      </c>
      <c r="H2353" s="581"/>
      <c r="I2353" s="639">
        <f t="shared" si="337"/>
        <v>0</v>
      </c>
    </row>
    <row r="2354" spans="1:9" x14ac:dyDescent="0.25">
      <c r="A2354" s="590">
        <v>69999</v>
      </c>
      <c r="B2354" s="576" t="s">
        <v>115</v>
      </c>
      <c r="C2354" s="581">
        <v>0</v>
      </c>
      <c r="D2354" s="581">
        <v>0.01</v>
      </c>
      <c r="E2354" s="901">
        <v>0.01</v>
      </c>
      <c r="F2354" s="581"/>
      <c r="G2354" s="581">
        <v>0.01</v>
      </c>
      <c r="H2354" s="581"/>
      <c r="I2354" s="639" t="e">
        <f t="shared" si="337"/>
        <v>#DIV/0!</v>
      </c>
    </row>
    <row r="2355" spans="1:9" x14ac:dyDescent="0.25">
      <c r="A2355" s="590"/>
      <c r="B2355" s="583" t="s">
        <v>242</v>
      </c>
      <c r="C2355" s="698">
        <f>SUM(C2303:C2354)</f>
        <v>508630</v>
      </c>
      <c r="D2355" s="698">
        <f t="shared" ref="D2355:H2355" si="338">SUM(D2303:D2354)</f>
        <v>464289.6</v>
      </c>
      <c r="E2355" s="972">
        <f>SUM(E2303:E2354)</f>
        <v>475985.45100000006</v>
      </c>
      <c r="F2355" s="698">
        <f t="shared" si="338"/>
        <v>0</v>
      </c>
      <c r="G2355" s="698">
        <f>SUM(G2303:G2354)</f>
        <v>475985.41000000003</v>
      </c>
      <c r="H2355" s="698">
        <f t="shared" si="338"/>
        <v>0</v>
      </c>
      <c r="I2355" s="639">
        <f t="shared" si="337"/>
        <v>0</v>
      </c>
    </row>
    <row r="2356" spans="1:9" x14ac:dyDescent="0.25">
      <c r="A2356" s="560"/>
      <c r="B2356" s="583"/>
      <c r="C2356" s="564"/>
      <c r="D2356" s="581"/>
      <c r="E2356" s="581"/>
      <c r="F2356" s="564"/>
      <c r="G2356" s="581"/>
      <c r="H2356" s="581"/>
      <c r="I2356" s="581"/>
    </row>
    <row r="2357" spans="1:9" x14ac:dyDescent="0.25">
      <c r="A2357" s="782"/>
      <c r="B2357" s="624" t="s">
        <v>898</v>
      </c>
      <c r="C2357" s="630">
        <v>2017</v>
      </c>
      <c r="D2357" s="629" t="s">
        <v>1236</v>
      </c>
      <c r="E2357" s="631">
        <v>2018</v>
      </c>
      <c r="F2357" s="630" t="s">
        <v>1236</v>
      </c>
      <c r="G2357" s="631" t="s">
        <v>4</v>
      </c>
      <c r="H2357" s="631">
        <v>2019</v>
      </c>
      <c r="I2357" s="627" t="s">
        <v>5</v>
      </c>
    </row>
    <row r="2358" spans="1:9" x14ac:dyDescent="0.25">
      <c r="A2358" s="590"/>
      <c r="B2358" s="576" t="s">
        <v>93</v>
      </c>
      <c r="C2358" s="630" t="s">
        <v>6</v>
      </c>
      <c r="D2358" s="634">
        <v>43069</v>
      </c>
      <c r="E2358" s="631" t="s">
        <v>6</v>
      </c>
      <c r="F2358" s="634">
        <v>43131</v>
      </c>
      <c r="G2358" s="635" t="s">
        <v>1131</v>
      </c>
      <c r="H2358" s="635" t="s">
        <v>6</v>
      </c>
      <c r="I2358" s="627" t="s">
        <v>92</v>
      </c>
    </row>
    <row r="2359" spans="1:9" x14ac:dyDescent="0.25">
      <c r="A2359" s="590">
        <v>63288</v>
      </c>
      <c r="B2359" s="576" t="s">
        <v>899</v>
      </c>
      <c r="C2359" s="564">
        <v>2000</v>
      </c>
      <c r="D2359" s="581">
        <v>0</v>
      </c>
      <c r="E2359" s="901">
        <v>2000</v>
      </c>
      <c r="F2359" s="564">
        <v>0</v>
      </c>
      <c r="G2359" s="581">
        <v>2000</v>
      </c>
      <c r="H2359" s="581"/>
      <c r="I2359" s="639">
        <f>F2359/C2359</f>
        <v>0</v>
      </c>
    </row>
    <row r="2360" spans="1:9" x14ac:dyDescent="0.25">
      <c r="A2360" s="590">
        <v>69392</v>
      </c>
      <c r="B2360" s="576" t="s">
        <v>900</v>
      </c>
      <c r="C2360" s="564">
        <v>14000</v>
      </c>
      <c r="D2360" s="581">
        <v>2238.98</v>
      </c>
      <c r="E2360" s="901">
        <v>14000</v>
      </c>
      <c r="F2360" s="564"/>
      <c r="G2360" s="581">
        <v>14000</v>
      </c>
      <c r="H2360" s="581"/>
      <c r="I2360" s="639">
        <f>F2360/C2360</f>
        <v>0</v>
      </c>
    </row>
    <row r="2361" spans="1:9" x14ac:dyDescent="0.25">
      <c r="A2361" s="590"/>
      <c r="B2361" s="583" t="s">
        <v>242</v>
      </c>
      <c r="C2361" s="588">
        <f>SUM(C2359:C2360)</f>
        <v>16000</v>
      </c>
      <c r="D2361" s="587">
        <f t="shared" ref="D2361" si="339">SUM(D2359:D2360)</f>
        <v>2238.98</v>
      </c>
      <c r="E2361" s="953">
        <f>SUM(E2359:E2360)</f>
        <v>16000</v>
      </c>
      <c r="F2361" s="588">
        <f t="shared" ref="F2361:H2361" si="340">SUM(F2359:F2360)</f>
        <v>0</v>
      </c>
      <c r="G2361" s="587">
        <v>16000</v>
      </c>
      <c r="H2361" s="587">
        <f t="shared" si="340"/>
        <v>0</v>
      </c>
      <c r="I2361" s="639">
        <f>F2361/C2361</f>
        <v>0</v>
      </c>
    </row>
    <row r="2362" spans="1:9" x14ac:dyDescent="0.25">
      <c r="A2362" s="590"/>
      <c r="B2362" s="583"/>
      <c r="C2362" s="564"/>
      <c r="D2362" s="581"/>
      <c r="E2362" s="901"/>
      <c r="F2362" s="564"/>
      <c r="G2362" s="581"/>
      <c r="H2362" s="581"/>
      <c r="I2362" s="581"/>
    </row>
    <row r="2363" spans="1:9" x14ac:dyDescent="0.25">
      <c r="A2363" s="687" t="s">
        <v>879</v>
      </c>
      <c r="B2363" s="688" t="s">
        <v>514</v>
      </c>
      <c r="C2363" s="564"/>
      <c r="D2363" s="581"/>
      <c r="E2363" s="901"/>
      <c r="F2363" s="564"/>
      <c r="G2363" s="581"/>
      <c r="H2363" s="581"/>
      <c r="I2363" s="581"/>
    </row>
    <row r="2364" spans="1:9" x14ac:dyDescent="0.25">
      <c r="A2364" s="590">
        <v>69425</v>
      </c>
      <c r="B2364" s="576" t="s">
        <v>299</v>
      </c>
      <c r="C2364" s="564">
        <v>0</v>
      </c>
      <c r="D2364" s="581">
        <v>0</v>
      </c>
      <c r="E2364" s="901">
        <v>0.01</v>
      </c>
      <c r="F2364" s="564">
        <v>0</v>
      </c>
      <c r="G2364" s="581">
        <v>0</v>
      </c>
      <c r="H2364" s="581">
        <v>0</v>
      </c>
      <c r="I2364" s="639" t="e">
        <f>F2364/C2364</f>
        <v>#DIV/0!</v>
      </c>
    </row>
    <row r="2365" spans="1:9" x14ac:dyDescent="0.25">
      <c r="A2365" s="590">
        <v>90003</v>
      </c>
      <c r="B2365" s="576" t="s">
        <v>901</v>
      </c>
      <c r="C2365" s="564">
        <v>0</v>
      </c>
      <c r="D2365" s="581">
        <v>0</v>
      </c>
      <c r="E2365" s="901">
        <v>0.01</v>
      </c>
      <c r="F2365" s="564">
        <v>0</v>
      </c>
      <c r="G2365" s="581">
        <v>0</v>
      </c>
      <c r="H2365" s="581">
        <v>0</v>
      </c>
      <c r="I2365" s="639" t="e">
        <f>F2365/C2365</f>
        <v>#DIV/0!</v>
      </c>
    </row>
    <row r="2366" spans="1:9" x14ac:dyDescent="0.25">
      <c r="A2366" s="590"/>
      <c r="B2366" s="583" t="s">
        <v>242</v>
      </c>
      <c r="C2366" s="585">
        <f>SUM(C2364:C2365)</f>
        <v>0</v>
      </c>
      <c r="D2366" s="586">
        <f t="shared" ref="D2366" si="341">SUM(D2364:D2365)</f>
        <v>0</v>
      </c>
      <c r="E2366" s="967">
        <f>SUM(E2364:E2365)</f>
        <v>0.02</v>
      </c>
      <c r="F2366" s="585">
        <f t="shared" ref="F2366:H2366" si="342">SUM(F2364:F2365)</f>
        <v>0</v>
      </c>
      <c r="G2366" s="586">
        <f t="shared" ref="G2366" si="343">SUM(G2364:G2365)</f>
        <v>0</v>
      </c>
      <c r="H2366" s="586">
        <f t="shared" si="342"/>
        <v>0</v>
      </c>
      <c r="I2366" s="639" t="e">
        <f>F2366/C2366</f>
        <v>#DIV/0!</v>
      </c>
    </row>
    <row r="2367" spans="1:9" x14ac:dyDescent="0.25">
      <c r="A2367" s="590"/>
      <c r="B2367" s="583"/>
      <c r="C2367" s="564"/>
      <c r="D2367" s="581"/>
      <c r="E2367" s="901"/>
      <c r="F2367" s="564"/>
      <c r="G2367" s="581"/>
      <c r="H2367" s="581"/>
      <c r="I2367" s="581"/>
    </row>
    <row r="2368" spans="1:9" x14ac:dyDescent="0.25">
      <c r="A2368" s="687" t="s">
        <v>902</v>
      </c>
      <c r="B2368" s="688" t="s">
        <v>323</v>
      </c>
      <c r="C2368" s="564"/>
      <c r="D2368" s="581"/>
      <c r="E2368" s="901"/>
      <c r="F2368" s="564"/>
      <c r="G2368" s="581"/>
      <c r="H2368" s="581"/>
      <c r="I2368" s="581"/>
    </row>
    <row r="2369" spans="1:9" x14ac:dyDescent="0.25">
      <c r="A2369" s="590">
        <v>70203</v>
      </c>
      <c r="B2369" s="576" t="s">
        <v>1171</v>
      </c>
      <c r="C2369" s="785">
        <v>25000</v>
      </c>
      <c r="D2369" s="721">
        <v>0</v>
      </c>
      <c r="E2369" s="907">
        <v>35000</v>
      </c>
      <c r="F2369" s="564">
        <v>0</v>
      </c>
      <c r="G2369" s="581">
        <v>35000</v>
      </c>
      <c r="H2369" s="581"/>
      <c r="I2369" s="639">
        <f>F2369/C2369</f>
        <v>0</v>
      </c>
    </row>
    <row r="2370" spans="1:9" x14ac:dyDescent="0.25">
      <c r="A2370" s="590">
        <v>70550</v>
      </c>
      <c r="B2370" s="576" t="s">
        <v>903</v>
      </c>
      <c r="C2370" s="564">
        <v>0</v>
      </c>
      <c r="D2370" s="581">
        <v>0</v>
      </c>
      <c r="E2370" s="901">
        <v>0.01</v>
      </c>
      <c r="F2370" s="564">
        <v>0</v>
      </c>
      <c r="G2370" s="581">
        <v>0</v>
      </c>
      <c r="H2370" s="581"/>
      <c r="I2370" s="639" t="e">
        <f>F2370/C2370</f>
        <v>#DIV/0!</v>
      </c>
    </row>
    <row r="2371" spans="1:9" x14ac:dyDescent="0.25">
      <c r="A2371" s="590"/>
      <c r="B2371" s="583" t="s">
        <v>242</v>
      </c>
      <c r="C2371" s="588">
        <f>SUM(C2369:C2370)</f>
        <v>25000</v>
      </c>
      <c r="D2371" s="587">
        <f t="shared" ref="D2371" si="344">SUM(D2369:D2370)</f>
        <v>0</v>
      </c>
      <c r="E2371" s="953">
        <f>SUM(E2369:E2370)</f>
        <v>35000.01</v>
      </c>
      <c r="F2371" s="786">
        <f t="shared" ref="F2371:H2371" si="345">SUM(F2369:F2370)</f>
        <v>0</v>
      </c>
      <c r="G2371" s="787">
        <f t="shared" ref="G2371" si="346">SUM(G2369:G2370)</f>
        <v>35000</v>
      </c>
      <c r="H2371" s="587">
        <f t="shared" si="345"/>
        <v>0</v>
      </c>
      <c r="I2371" s="639">
        <f>F2371/C2371</f>
        <v>0</v>
      </c>
    </row>
    <row r="2372" spans="1:9" x14ac:dyDescent="0.25">
      <c r="A2372" s="560"/>
      <c r="B2372" s="583"/>
      <c r="C2372" s="564"/>
      <c r="D2372" s="581"/>
      <c r="E2372" s="581"/>
      <c r="F2372" s="564"/>
      <c r="G2372" s="581"/>
      <c r="H2372" s="581"/>
      <c r="I2372" s="581"/>
    </row>
    <row r="2373" spans="1:9" x14ac:dyDescent="0.25">
      <c r="A2373" s="687" t="s">
        <v>904</v>
      </c>
      <c r="B2373" s="688" t="s">
        <v>905</v>
      </c>
      <c r="C2373" s="630">
        <v>2017</v>
      </c>
      <c r="D2373" s="629" t="s">
        <v>1236</v>
      </c>
      <c r="E2373" s="629">
        <v>2018</v>
      </c>
      <c r="F2373" s="630" t="s">
        <v>1236</v>
      </c>
      <c r="G2373" s="631" t="s">
        <v>4</v>
      </c>
      <c r="H2373" s="631">
        <v>2019</v>
      </c>
      <c r="I2373" s="627" t="s">
        <v>5</v>
      </c>
    </row>
    <row r="2374" spans="1:9" x14ac:dyDescent="0.25">
      <c r="A2374" s="596"/>
      <c r="B2374" s="576" t="s">
        <v>93</v>
      </c>
      <c r="C2374" s="630" t="s">
        <v>6</v>
      </c>
      <c r="D2374" s="634">
        <v>43069</v>
      </c>
      <c r="E2374" s="629" t="s">
        <v>6</v>
      </c>
      <c r="F2374" s="634">
        <v>43131</v>
      </c>
      <c r="G2374" s="635" t="s">
        <v>1131</v>
      </c>
      <c r="H2374" s="635" t="s">
        <v>6</v>
      </c>
      <c r="I2374" s="627" t="s">
        <v>92</v>
      </c>
    </row>
    <row r="2375" spans="1:9" x14ac:dyDescent="0.25">
      <c r="A2375" s="590"/>
      <c r="B2375" s="576"/>
      <c r="C2375" s="578"/>
      <c r="D2375" s="593"/>
      <c r="E2375" s="593"/>
      <c r="F2375" s="564"/>
      <c r="G2375" s="581"/>
      <c r="H2375" s="581"/>
      <c r="I2375" s="581"/>
    </row>
    <row r="2376" spans="1:9" x14ac:dyDescent="0.25">
      <c r="A2376" s="575">
        <v>70600</v>
      </c>
      <c r="B2376" s="576" t="s">
        <v>906</v>
      </c>
      <c r="C2376" s="564">
        <v>0</v>
      </c>
      <c r="D2376" s="581">
        <v>0</v>
      </c>
      <c r="E2376" s="581">
        <v>0.01</v>
      </c>
      <c r="F2376" s="564">
        <v>0</v>
      </c>
      <c r="G2376" s="581">
        <v>0</v>
      </c>
      <c r="H2376" s="581">
        <v>0</v>
      </c>
      <c r="I2376" s="639" t="e">
        <f>F2376/C2376</f>
        <v>#DIV/0!</v>
      </c>
    </row>
    <row r="2377" spans="1:9" x14ac:dyDescent="0.25">
      <c r="A2377" s="575">
        <v>70600</v>
      </c>
      <c r="B2377" s="576" t="s">
        <v>907</v>
      </c>
      <c r="C2377" s="564">
        <v>7537</v>
      </c>
      <c r="D2377" s="581">
        <v>0</v>
      </c>
      <c r="E2377" s="581">
        <v>0.01</v>
      </c>
      <c r="F2377" s="564">
        <v>0</v>
      </c>
      <c r="G2377" s="581">
        <v>0</v>
      </c>
      <c r="H2377" s="581"/>
      <c r="I2377" s="639">
        <f>F2377/C2377</f>
        <v>0</v>
      </c>
    </row>
    <row r="2378" spans="1:9" x14ac:dyDescent="0.25">
      <c r="A2378" s="590"/>
      <c r="B2378" s="583" t="s">
        <v>242</v>
      </c>
      <c r="C2378" s="588">
        <f>SUM(C2376:C2377)</f>
        <v>7537</v>
      </c>
      <c r="D2378" s="587">
        <f t="shared" ref="D2378:H2378" si="347">SUM(D2376:D2377)</f>
        <v>0</v>
      </c>
      <c r="E2378" s="587">
        <f>SUM(E2376:E2377)</f>
        <v>0.02</v>
      </c>
      <c r="F2378" s="588">
        <f t="shared" si="347"/>
        <v>0</v>
      </c>
      <c r="G2378" s="587">
        <f>SUM(G2376:G2377)</f>
        <v>0</v>
      </c>
      <c r="H2378" s="587">
        <f t="shared" si="347"/>
        <v>0</v>
      </c>
      <c r="I2378" s="639">
        <f>F2378/C2378</f>
        <v>0</v>
      </c>
    </row>
    <row r="2379" spans="1:9" x14ac:dyDescent="0.25">
      <c r="A2379" s="590"/>
      <c r="B2379" s="583"/>
      <c r="C2379" s="564"/>
      <c r="D2379" s="581"/>
      <c r="E2379" s="581"/>
      <c r="F2379" s="564"/>
      <c r="G2379" s="581"/>
      <c r="H2379" s="581"/>
      <c r="I2379" s="581"/>
    </row>
    <row r="2380" spans="1:9" x14ac:dyDescent="0.25">
      <c r="A2380" s="687" t="s">
        <v>908</v>
      </c>
      <c r="B2380" s="688" t="s">
        <v>909</v>
      </c>
      <c r="C2380" s="630">
        <v>2017</v>
      </c>
      <c r="D2380" s="629" t="s">
        <v>1236</v>
      </c>
      <c r="E2380" s="629">
        <v>2018</v>
      </c>
      <c r="F2380" s="630" t="s">
        <v>1236</v>
      </c>
      <c r="G2380" s="631" t="s">
        <v>4</v>
      </c>
      <c r="H2380" s="631">
        <v>2019</v>
      </c>
      <c r="I2380" s="627" t="s">
        <v>5</v>
      </c>
    </row>
    <row r="2381" spans="1:9" x14ac:dyDescent="0.25">
      <c r="A2381" s="590"/>
      <c r="B2381" s="576" t="s">
        <v>93</v>
      </c>
      <c r="C2381" s="630" t="s">
        <v>6</v>
      </c>
      <c r="D2381" s="634">
        <v>43069</v>
      </c>
      <c r="E2381" s="629" t="s">
        <v>6</v>
      </c>
      <c r="F2381" s="634">
        <v>43131</v>
      </c>
      <c r="G2381" s="635" t="s">
        <v>1131</v>
      </c>
      <c r="H2381" s="635" t="s">
        <v>6</v>
      </c>
      <c r="I2381" s="627" t="s">
        <v>92</v>
      </c>
    </row>
    <row r="2382" spans="1:9" x14ac:dyDescent="0.25">
      <c r="A2382" s="590">
        <v>69995</v>
      </c>
      <c r="B2382" s="576" t="s">
        <v>910</v>
      </c>
      <c r="C2382" s="564">
        <v>1200</v>
      </c>
      <c r="D2382" s="562">
        <v>2369</v>
      </c>
      <c r="E2382" s="562">
        <v>0</v>
      </c>
      <c r="F2382" s="564"/>
      <c r="G2382" s="581">
        <v>0</v>
      </c>
      <c r="H2382" s="581"/>
      <c r="I2382" s="639">
        <f>F2382/C2382</f>
        <v>0</v>
      </c>
    </row>
    <row r="2383" spans="1:9" x14ac:dyDescent="0.25">
      <c r="A2383" s="590"/>
      <c r="B2383" s="583" t="s">
        <v>242</v>
      </c>
      <c r="C2383" s="589">
        <f>SUM(C2382)</f>
        <v>1200</v>
      </c>
      <c r="D2383" s="588">
        <f>D2382</f>
        <v>2369</v>
      </c>
      <c r="E2383" s="588">
        <f>SUM(E2382)</f>
        <v>0</v>
      </c>
      <c r="F2383" s="589">
        <f>F2382</f>
        <v>0</v>
      </c>
      <c r="G2383" s="588">
        <f>SUM(G2382)</f>
        <v>0</v>
      </c>
      <c r="H2383" s="588">
        <f>SUM(H2382)</f>
        <v>0</v>
      </c>
      <c r="I2383" s="639">
        <f>F2383/C2383</f>
        <v>0</v>
      </c>
    </row>
    <row r="2384" spans="1:9" x14ac:dyDescent="0.25">
      <c r="A2384" s="590"/>
      <c r="B2384" s="583"/>
      <c r="C2384" s="582"/>
      <c r="D2384" s="588"/>
      <c r="E2384" s="588"/>
      <c r="F2384" s="582"/>
      <c r="G2384" s="581"/>
      <c r="H2384" s="581"/>
      <c r="I2384" s="581"/>
    </row>
    <row r="2385" spans="1:10" x14ac:dyDescent="0.25">
      <c r="A2385" s="788"/>
      <c r="B2385" s="789"/>
      <c r="C2385" s="791"/>
      <c r="D2385" s="790"/>
      <c r="E2385" s="790"/>
      <c r="F2385" s="792"/>
      <c r="G2385" s="725"/>
      <c r="H2385" s="725"/>
      <c r="I2385" s="725"/>
    </row>
    <row r="2386" spans="1:10" x14ac:dyDescent="0.25">
      <c r="A2386" s="590"/>
      <c r="B2386" s="781" t="s">
        <v>911</v>
      </c>
      <c r="C2386" s="794">
        <f>C2378+C2383</f>
        <v>8737</v>
      </c>
      <c r="D2386" s="794">
        <f t="shared" ref="D2386:H2386" si="348">D2378+D2383</f>
        <v>2369</v>
      </c>
      <c r="E2386" s="794">
        <f>E2378+E2383</f>
        <v>0.02</v>
      </c>
      <c r="F2386" s="794">
        <f t="shared" si="348"/>
        <v>0</v>
      </c>
      <c r="G2386" s="794">
        <f>G2378+G2383</f>
        <v>0</v>
      </c>
      <c r="H2386" s="794">
        <f t="shared" si="348"/>
        <v>0</v>
      </c>
      <c r="I2386" s="795">
        <f>F2386/C2386</f>
        <v>0</v>
      </c>
    </row>
    <row r="2387" spans="1:10" x14ac:dyDescent="0.25">
      <c r="A2387" s="590"/>
      <c r="B2387" s="594" t="s">
        <v>912</v>
      </c>
      <c r="C2387" s="616">
        <f>C2355+C2361+C2366+C2371</f>
        <v>549630</v>
      </c>
      <c r="D2387" s="616">
        <f t="shared" ref="D2387:H2387" si="349">D2355+D2361+D2366+D2371</f>
        <v>466528.57999999996</v>
      </c>
      <c r="E2387" s="955">
        <f>E2355+E2361+E2366+E2371</f>
        <v>526985.48100000003</v>
      </c>
      <c r="F2387" s="616">
        <f t="shared" si="349"/>
        <v>0</v>
      </c>
      <c r="G2387" s="616">
        <f>G2355+G2361+G2366+G2371</f>
        <v>526985.41</v>
      </c>
      <c r="H2387" s="616">
        <f t="shared" si="349"/>
        <v>0</v>
      </c>
      <c r="I2387" s="639">
        <f>F2387/C2387</f>
        <v>0</v>
      </c>
    </row>
    <row r="2388" spans="1:10" x14ac:dyDescent="0.25">
      <c r="A2388" s="590"/>
      <c r="B2388" s="583"/>
      <c r="C2388" s="582"/>
      <c r="D2388" s="582"/>
      <c r="E2388" s="961"/>
      <c r="F2388" s="579"/>
      <c r="G2388" s="566"/>
      <c r="H2388" s="566"/>
      <c r="I2388" s="566"/>
    </row>
    <row r="2389" spans="1:10" s="569" customFormat="1" x14ac:dyDescent="0.25">
      <c r="A2389" s="590"/>
      <c r="B2389" s="561" t="s">
        <v>913</v>
      </c>
      <c r="C2389" s="616">
        <f>C2386+C2387</f>
        <v>558367</v>
      </c>
      <c r="D2389" s="616">
        <f t="shared" ref="D2389:H2389" si="350">D2386+D2387</f>
        <v>468897.57999999996</v>
      </c>
      <c r="E2389" s="955">
        <f>E2386+E2387</f>
        <v>526985.50100000005</v>
      </c>
      <c r="F2389" s="616">
        <f t="shared" si="350"/>
        <v>0</v>
      </c>
      <c r="G2389" s="616">
        <f>G2386+G2387</f>
        <v>526985.41</v>
      </c>
      <c r="H2389" s="616">
        <f t="shared" si="350"/>
        <v>0</v>
      </c>
      <c r="I2389" s="639">
        <f>F2389/C2389</f>
        <v>0</v>
      </c>
      <c r="J2389" s="776"/>
    </row>
    <row r="2390" spans="1:10" x14ac:dyDescent="0.25">
      <c r="A2390" s="575"/>
      <c r="B2390" s="561"/>
      <c r="C2390" s="582"/>
      <c r="D2390" s="582"/>
      <c r="E2390" s="961"/>
      <c r="F2390" s="579"/>
      <c r="G2390" s="566"/>
      <c r="H2390" s="566"/>
      <c r="I2390" s="566"/>
    </row>
    <row r="2391" spans="1:10" x14ac:dyDescent="0.25">
      <c r="A2391" s="575"/>
      <c r="B2391" s="561" t="s">
        <v>449</v>
      </c>
      <c r="C2391" s="616">
        <f>C2297</f>
        <v>551180</v>
      </c>
      <c r="D2391" s="616">
        <f t="shared" ref="D2391:F2391" si="351">D2297</f>
        <v>505199.56</v>
      </c>
      <c r="E2391" s="955">
        <f>E2297</f>
        <v>518643.13099999999</v>
      </c>
      <c r="F2391" s="616">
        <f t="shared" si="351"/>
        <v>0</v>
      </c>
      <c r="G2391" s="616">
        <f>G2297</f>
        <v>518643.02</v>
      </c>
      <c r="H2391" s="616">
        <f>H2297</f>
        <v>0</v>
      </c>
      <c r="I2391" s="639">
        <f>F2391/C2391</f>
        <v>0</v>
      </c>
    </row>
    <row r="2392" spans="1:10" x14ac:dyDescent="0.25">
      <c r="A2392" s="575"/>
      <c r="B2392" s="561" t="s">
        <v>116</v>
      </c>
      <c r="C2392" s="616">
        <f>C2389</f>
        <v>558367</v>
      </c>
      <c r="D2392" s="616">
        <f t="shared" ref="D2392:H2392" si="352">D2389</f>
        <v>468897.57999999996</v>
      </c>
      <c r="E2392" s="955">
        <f>E2389</f>
        <v>526985.50100000005</v>
      </c>
      <c r="F2392" s="616">
        <f t="shared" si="352"/>
        <v>0</v>
      </c>
      <c r="G2392" s="616">
        <f>G2389</f>
        <v>526985.41</v>
      </c>
      <c r="H2392" s="616">
        <f t="shared" si="352"/>
        <v>0</v>
      </c>
      <c r="I2392" s="639">
        <f>F2392/C2392</f>
        <v>0</v>
      </c>
    </row>
    <row r="2393" spans="1:10" x14ac:dyDescent="0.25">
      <c r="A2393" s="575"/>
      <c r="B2393" s="561" t="s">
        <v>450</v>
      </c>
      <c r="C2393" s="616">
        <f>C2391-C2392</f>
        <v>-7187</v>
      </c>
      <c r="D2393" s="616">
        <f t="shared" ref="D2393:F2393" si="353">D2391-D2392</f>
        <v>36301.98000000004</v>
      </c>
      <c r="E2393" s="955">
        <f>E2391-E2392</f>
        <v>-8342.3700000000536</v>
      </c>
      <c r="F2393" s="616">
        <f t="shared" si="353"/>
        <v>0</v>
      </c>
      <c r="G2393" s="616">
        <f>G2391-G2392</f>
        <v>-8342.390000000014</v>
      </c>
      <c r="H2393" s="616">
        <f>H2391-H2392</f>
        <v>0</v>
      </c>
      <c r="I2393" s="639"/>
    </row>
    <row r="2394" spans="1:10" x14ac:dyDescent="0.25">
      <c r="A2394" s="575"/>
      <c r="B2394" s="561" t="s">
        <v>914</v>
      </c>
      <c r="C2394" s="579">
        <v>0</v>
      </c>
      <c r="D2394" s="579">
        <v>0</v>
      </c>
      <c r="E2394" s="966">
        <v>0.01</v>
      </c>
      <c r="F2394" s="579">
        <v>0</v>
      </c>
      <c r="G2394" s="566">
        <v>0</v>
      </c>
      <c r="H2394" s="566">
        <v>0</v>
      </c>
      <c r="I2394" s="581"/>
    </row>
    <row r="2395" spans="1:10" x14ac:dyDescent="0.25">
      <c r="A2395" s="575"/>
      <c r="B2395" s="561" t="s">
        <v>451</v>
      </c>
      <c r="C2395" s="616">
        <f t="shared" ref="C2395:H2395" si="354">C2242+C2393</f>
        <v>116464</v>
      </c>
      <c r="D2395" s="616">
        <f t="shared" si="354"/>
        <v>36301.98000000004</v>
      </c>
      <c r="E2395" s="955">
        <f t="shared" si="354"/>
        <v>156488.62999999995</v>
      </c>
      <c r="F2395" s="616">
        <f t="shared" si="354"/>
        <v>0</v>
      </c>
      <c r="G2395" s="616">
        <f t="shared" si="354"/>
        <v>148146.23999999999</v>
      </c>
      <c r="H2395" s="616">
        <f t="shared" si="354"/>
        <v>0</v>
      </c>
      <c r="I2395" s="639">
        <f>F2395/C2395</f>
        <v>0</v>
      </c>
    </row>
    <row r="2396" spans="1:10" x14ac:dyDescent="0.25">
      <c r="A2396" s="575"/>
      <c r="B2396" s="561" t="s">
        <v>915</v>
      </c>
      <c r="C2396" s="796">
        <v>35000</v>
      </c>
      <c r="D2396" s="579">
        <v>0</v>
      </c>
      <c r="E2396" s="966"/>
      <c r="F2396" s="616">
        <v>0</v>
      </c>
      <c r="G2396" s="616"/>
      <c r="H2396" s="616">
        <v>0</v>
      </c>
      <c r="I2396" s="639"/>
    </row>
    <row r="2397" spans="1:10" x14ac:dyDescent="0.25">
      <c r="A2397" s="575"/>
      <c r="B2397" s="561" t="s">
        <v>842</v>
      </c>
      <c r="C2397" s="579">
        <f>C2395-C2396</f>
        <v>81464</v>
      </c>
      <c r="D2397" s="579">
        <f t="shared" ref="D2397:H2397" si="355">D2395-D2396</f>
        <v>36301.98000000004</v>
      </c>
      <c r="E2397" s="966">
        <f>E2395-E2396</f>
        <v>156488.62999999995</v>
      </c>
      <c r="F2397" s="579">
        <f t="shared" si="355"/>
        <v>0</v>
      </c>
      <c r="G2397" s="579">
        <f>G2395-G2396</f>
        <v>148146.23999999999</v>
      </c>
      <c r="H2397" s="579">
        <f t="shared" si="355"/>
        <v>0</v>
      </c>
      <c r="I2397" s="639">
        <f>F2397/C2397</f>
        <v>0</v>
      </c>
    </row>
    <row r="2398" spans="1:10" x14ac:dyDescent="0.25">
      <c r="A2398" s="575"/>
      <c r="B2398" s="561" t="s">
        <v>916</v>
      </c>
      <c r="C2398" s="579">
        <v>0</v>
      </c>
      <c r="D2398" s="579">
        <v>0</v>
      </c>
      <c r="E2398" s="966">
        <v>0</v>
      </c>
      <c r="F2398" s="579"/>
      <c r="G2398" s="579"/>
      <c r="H2398" s="579"/>
      <c r="I2398" s="639"/>
    </row>
    <row r="2399" spans="1:10" x14ac:dyDescent="0.25">
      <c r="A2399" s="575"/>
      <c r="B2399" s="561" t="s">
        <v>917</v>
      </c>
      <c r="C2399" s="796">
        <v>30000</v>
      </c>
      <c r="D2399" s="579">
        <v>27581</v>
      </c>
      <c r="E2399" s="966">
        <f>E2369</f>
        <v>35000</v>
      </c>
      <c r="F2399" s="579"/>
      <c r="G2399" s="566">
        <v>35000</v>
      </c>
      <c r="H2399" s="566"/>
      <c r="I2399" s="639">
        <f>F2399/C2399</f>
        <v>0</v>
      </c>
    </row>
    <row r="2400" spans="1:10" x14ac:dyDescent="0.25">
      <c r="A2400" s="575"/>
      <c r="B2400" s="561" t="s">
        <v>465</v>
      </c>
      <c r="C2400" s="616">
        <f>C2395-C2398-C2399-C2396</f>
        <v>51464</v>
      </c>
      <c r="D2400" s="616">
        <f>D2395-D2398-D2399-D2396</f>
        <v>8720.9800000000396</v>
      </c>
      <c r="E2400" s="955">
        <f>E2395-E2398-E2399-E2396</f>
        <v>121488.62999999995</v>
      </c>
      <c r="F2400" s="616">
        <f t="shared" ref="F2400:H2400" si="356">F2395-F2398-F2399-F2396</f>
        <v>0</v>
      </c>
      <c r="G2400" s="616">
        <f>G2395-G2398-G2399-G2396</f>
        <v>113146.23999999999</v>
      </c>
      <c r="H2400" s="616">
        <f t="shared" si="356"/>
        <v>0</v>
      </c>
      <c r="I2400" s="797" t="e">
        <f>I2397/I2399</f>
        <v>#DIV/0!</v>
      </c>
    </row>
    <row r="2401" spans="1:10" x14ac:dyDescent="0.25">
      <c r="A2401" s="575"/>
      <c r="B2401" s="561"/>
      <c r="C2401" s="564"/>
      <c r="D2401" s="581"/>
      <c r="E2401" s="581"/>
      <c r="F2401" s="564"/>
      <c r="G2401" s="581"/>
      <c r="H2401" s="581"/>
      <c r="I2401" s="581"/>
    </row>
    <row r="2402" spans="1:10" x14ac:dyDescent="0.25">
      <c r="A2402" s="575"/>
      <c r="B2402" s="594" t="s">
        <v>918</v>
      </c>
      <c r="C2402" s="630">
        <v>2017</v>
      </c>
      <c r="D2402" s="629" t="s">
        <v>1236</v>
      </c>
      <c r="E2402" s="629">
        <v>2018</v>
      </c>
      <c r="F2402" s="630" t="s">
        <v>1236</v>
      </c>
      <c r="G2402" s="631" t="s">
        <v>4</v>
      </c>
      <c r="H2402" s="631">
        <v>2019</v>
      </c>
      <c r="I2402" s="627" t="s">
        <v>5</v>
      </c>
    </row>
    <row r="2403" spans="1:10" x14ac:dyDescent="0.25">
      <c r="A2403" s="575"/>
      <c r="B2403" s="576"/>
      <c r="C2403" s="630" t="s">
        <v>6</v>
      </c>
      <c r="D2403" s="634">
        <v>43069</v>
      </c>
      <c r="E2403" s="629" t="s">
        <v>6</v>
      </c>
      <c r="F2403" s="634">
        <v>43131</v>
      </c>
      <c r="G2403" s="635" t="s">
        <v>1131</v>
      </c>
      <c r="H2403" s="635" t="s">
        <v>6</v>
      </c>
      <c r="I2403" s="627" t="s">
        <v>92</v>
      </c>
    </row>
    <row r="2404" spans="1:10" s="569" customFormat="1" x14ac:dyDescent="0.25">
      <c r="A2404" s="575"/>
      <c r="B2404" s="576"/>
      <c r="C2404" s="933"/>
      <c r="D2404" s="627" t="s">
        <v>920</v>
      </c>
      <c r="E2404" s="627" t="s">
        <v>920</v>
      </c>
      <c r="F2404" s="798"/>
      <c r="G2404" s="799"/>
      <c r="H2404" s="799"/>
      <c r="I2404" s="799"/>
      <c r="J2404" s="776"/>
    </row>
    <row r="2405" spans="1:10" x14ac:dyDescent="0.25">
      <c r="A2405" s="575"/>
      <c r="B2405" s="561" t="s">
        <v>921</v>
      </c>
      <c r="C2405" s="579">
        <f>D2411</f>
        <v>252385.59099999734</v>
      </c>
      <c r="D2405" s="579">
        <f>D5+D702+D929+D950+D1013+D1062+D1084+D1112+D1155+D1200+D1227+D1262+D1298+D1324+D1370+D1486+D2242+D1516</f>
        <v>53560.45</v>
      </c>
      <c r="E2405" s="579">
        <f>E5+E702+E929+E950+E1013+E1062+E1084+E1112+E1155+E1200+E1227+E1262+E1298+E1324+E1370+E1486+E1516+E2242</f>
        <v>1833614</v>
      </c>
      <c r="F2405" s="579">
        <f>F5+F702+F929+F950+F1013+F1062+F1084+F1112+F1155+F1200+F1227+F1262+F1298+F1324+F1370+F1486+F1516+F2242</f>
        <v>0</v>
      </c>
      <c r="G2405" s="579">
        <f>G5+G702+G929+G950+G1013+G1062+G1084+G1112+G1155+G1200+G1227+G1262+G1298+G1324+G1370+G1486+G1516+G2242</f>
        <v>1583476.1039999989</v>
      </c>
      <c r="H2405" s="579"/>
      <c r="I2405" s="581"/>
    </row>
    <row r="2406" spans="1:10" x14ac:dyDescent="0.25">
      <c r="A2406" s="575"/>
      <c r="B2406" s="561" t="s">
        <v>922</v>
      </c>
      <c r="C2406" s="616">
        <f>C687+C917+C939+C1004+C1053+C1074+C1146+C1190+C1102+C1218+C1253+C1289+C1315+C1359+C1476+C1506+C2391+C2230</f>
        <v>6258487</v>
      </c>
      <c r="D2406" s="616">
        <f>D687+D917+D939+D1004+D1053+D1074+D1102+D1146+D1190+D1218+D1253+D1289+D1315+D1359+D1476+D1506+D2391+D2230</f>
        <v>5820262.1909999987</v>
      </c>
      <c r="E2406" s="616">
        <f>E687+E917+E939+E1004+E1053+E1074+E1146+E1190+E1218+E1253+E1289+E1315+E1359+E1476+E1506+E2391+E2230+E1102</f>
        <v>6358875.7529999996</v>
      </c>
      <c r="F2406" s="616">
        <f>F687+F917+F939+F1004+F1053+F1074+F1102+F1146+F1190+F1218+F1253+F1289+F1315+F1359+F1476+F1506+F2391+F2230</f>
        <v>0</v>
      </c>
      <c r="G2406" s="616">
        <f>G687+G917+G939+G1004+G1053+G1074+G1102+G1146+G1190+G1218+G1253+G1289+G1315+G1359+G1476+G1506+G2391+G2230</f>
        <v>6358875.6099999994</v>
      </c>
      <c r="H2406" s="616"/>
      <c r="I2406" s="639">
        <f t="shared" ref="I2406:I2412" si="357">F2406/C2406</f>
        <v>0</v>
      </c>
    </row>
    <row r="2407" spans="1:10" x14ac:dyDescent="0.25">
      <c r="A2407" s="575"/>
      <c r="B2407" s="561" t="s">
        <v>923</v>
      </c>
      <c r="C2407" s="616">
        <f>C688+C918+C940+C1005+C1054+C1075+C1103+C1147+C1191+C1219+C1254+C1290+C1316+C1360+C1477+C1507+C2392+C2231</f>
        <v>5644743.1510000005</v>
      </c>
      <c r="D2407" s="616">
        <f>D688+D918+D940+D1005+D1054+D1075+D1103+D1147+D1191+D1219+D1254+D1290+D1316+D1360+D1477+D1507+D2392+D2231</f>
        <v>5512620.5200000014</v>
      </c>
      <c r="E2407" s="616">
        <f>E688+E918+E940+E1005+E1054+E1075+E1147+E1191+E1219+E1254+E1290+E1316+E1360+E1477+E1507+E2392+E2231+E1103</f>
        <v>6357002.1489999993</v>
      </c>
      <c r="F2407" s="616">
        <f>F688+F918+F940+F1005+F1054+F1075+F1103+F1147+F1191+F1219+F1254+F1290+F1316+F1360+F1477+F1507+F2392+F2231</f>
        <v>0</v>
      </c>
      <c r="G2407" s="616">
        <f>G688+G918+G940+G1005+G1054+G1075+G1147+G1191+G1219+G1254+G1290+G1316+G1360+G1477+G1507+G2392+G2231+G1103</f>
        <v>6357001.2709999997</v>
      </c>
      <c r="H2407" s="616">
        <f>H688+H918+H940+H1005+H1054+H1075+H1103+H1147+H1191+H1219+H1254+H1290+H1316+H1360+H1477+H1507+H2392+H2231</f>
        <v>0.01</v>
      </c>
      <c r="I2407" s="639">
        <f t="shared" si="357"/>
        <v>0</v>
      </c>
    </row>
    <row r="2408" spans="1:10" x14ac:dyDescent="0.25">
      <c r="A2408" s="575"/>
      <c r="B2408" s="561" t="s">
        <v>924</v>
      </c>
      <c r="C2408" s="616">
        <f>C2406-C2407</f>
        <v>613743.84899999946</v>
      </c>
      <c r="D2408" s="616">
        <f t="shared" ref="D2408:H2408" si="358">D2406-D2407</f>
        <v>307641.6709999973</v>
      </c>
      <c r="E2408" s="616">
        <f>E2406-E2407</f>
        <v>1873.6040000002831</v>
      </c>
      <c r="F2408" s="616">
        <f>F2406-F2407</f>
        <v>0</v>
      </c>
      <c r="G2408" s="616">
        <f>G2406-G2407</f>
        <v>1874.3389999996871</v>
      </c>
      <c r="H2408" s="616">
        <f t="shared" si="358"/>
        <v>-0.01</v>
      </c>
      <c r="I2408" s="639">
        <f t="shared" si="357"/>
        <v>0</v>
      </c>
    </row>
    <row r="2409" spans="1:10" x14ac:dyDescent="0.25">
      <c r="A2409" s="575"/>
      <c r="B2409" s="561" t="s">
        <v>925</v>
      </c>
      <c r="C2409" s="616">
        <f>C2405+C2408</f>
        <v>866129.4399999968</v>
      </c>
      <c r="D2409" s="616">
        <f t="shared" ref="D2409:H2409" si="359">D2405+D2408</f>
        <v>361202.12099999731</v>
      </c>
      <c r="E2409" s="616">
        <f>E2405+E2408</f>
        <v>1835487.6040000003</v>
      </c>
      <c r="F2409" s="616">
        <f t="shared" si="359"/>
        <v>0</v>
      </c>
      <c r="G2409" s="616">
        <f>G2405+G2408</f>
        <v>1585350.4429999986</v>
      </c>
      <c r="H2409" s="616">
        <f t="shared" si="359"/>
        <v>-0.01</v>
      </c>
      <c r="I2409" s="639">
        <f t="shared" si="357"/>
        <v>0</v>
      </c>
    </row>
    <row r="2410" spans="1:10" x14ac:dyDescent="0.25">
      <c r="A2410" s="575"/>
      <c r="B2410" s="561" t="s">
        <v>926</v>
      </c>
      <c r="C2410" s="616">
        <f>C691+C923+C943+C1008+C1057+C1078+C1106+C1150+C1194+C1222+C1257+C1293+C1319+C1363+C1480+C2396+C2233</f>
        <v>165804.04199999999</v>
      </c>
      <c r="D2410" s="616">
        <f>D691+D923+D943+D1008+D1057+D1078+D1106+D1150+D1194+D1222+D1257+D1293+D1319+D1363+D1480+D2396+D2233</f>
        <v>108816.52999999996</v>
      </c>
      <c r="E2410" s="616">
        <v>0</v>
      </c>
      <c r="F2410" s="616"/>
      <c r="G2410" s="616"/>
      <c r="H2410" s="616"/>
      <c r="I2410" s="639">
        <f t="shared" si="357"/>
        <v>0</v>
      </c>
    </row>
    <row r="2411" spans="1:10" x14ac:dyDescent="0.25">
      <c r="A2411" s="575"/>
      <c r="B2411" s="561" t="s">
        <v>927</v>
      </c>
      <c r="C2411" s="616">
        <f>C2409-C2410</f>
        <v>700325.39799999679</v>
      </c>
      <c r="D2411" s="616">
        <f t="shared" ref="D2411:H2411" si="360">D2409-D2410</f>
        <v>252385.59099999734</v>
      </c>
      <c r="E2411" s="616">
        <f>E2409-E2410</f>
        <v>1835487.6040000003</v>
      </c>
      <c r="F2411" s="616">
        <f t="shared" si="360"/>
        <v>0</v>
      </c>
      <c r="G2411" s="616">
        <f>G2409-G2410</f>
        <v>1585350.4429999986</v>
      </c>
      <c r="H2411" s="616">
        <f t="shared" si="360"/>
        <v>-0.01</v>
      </c>
      <c r="I2411" s="639">
        <f t="shared" si="357"/>
        <v>0</v>
      </c>
    </row>
    <row r="2412" spans="1:10" ht="34.5" x14ac:dyDescent="0.25">
      <c r="A2412" s="575"/>
      <c r="B2412" s="801" t="s">
        <v>928</v>
      </c>
      <c r="C2412" s="616">
        <f>C692+C693+C921+C922+C1365+C1510+C2399</f>
        <v>727500.02</v>
      </c>
      <c r="D2412" s="616">
        <f>D692+D693+D921+D922+D1365+D1511+D2399</f>
        <v>455081</v>
      </c>
      <c r="E2412" s="616">
        <f>E692+E693+E921+E922+E1365+E1511+E2399</f>
        <v>153776.03</v>
      </c>
      <c r="F2412" s="616"/>
      <c r="G2412" s="616">
        <v>168776</v>
      </c>
      <c r="H2412" s="616"/>
      <c r="I2412" s="639">
        <f t="shared" si="357"/>
        <v>0</v>
      </c>
    </row>
    <row r="2413" spans="1:10" ht="23.25" x14ac:dyDescent="0.25">
      <c r="A2413" s="575"/>
      <c r="B2413" s="801" t="s">
        <v>929</v>
      </c>
      <c r="C2413" s="616"/>
      <c r="D2413" s="616"/>
      <c r="E2413" s="616"/>
      <c r="F2413" s="616"/>
      <c r="G2413" s="616"/>
      <c r="H2413" s="616"/>
      <c r="I2413" s="639"/>
    </row>
    <row r="2414" spans="1:10" ht="34.5" x14ac:dyDescent="0.25">
      <c r="A2414" s="575"/>
      <c r="B2414" s="801" t="s">
        <v>930</v>
      </c>
      <c r="C2414" s="616">
        <f>C695+C945+C1058+C1079+C1107+C1151+C1223+C1258+C1294+C1320+C2237</f>
        <v>492038.67799999996</v>
      </c>
      <c r="D2414" s="616">
        <f>D695+D945+D1058+D1079+D1107+D1151+D1223+D1258+D1294+D1320+D2237</f>
        <v>608374.93999999994</v>
      </c>
      <c r="E2414" s="616">
        <f>E695+E945+E1058+E1079+E1151+E1223+E1258+E1294+E1320+E2237</f>
        <v>411461.99999999994</v>
      </c>
      <c r="F2414" s="616">
        <f>F695+F945+F1058+F1079+F1107+F1151+F1223+F1258+F1294+F1320+F2237</f>
        <v>-7.1000000000000008E-2</v>
      </c>
      <c r="G2414" s="616">
        <f>G695+G945+G1058+G1079+G1151+G1223+G1258+G1294+G1320+G2237</f>
        <v>405932.09</v>
      </c>
      <c r="H2414" s="616"/>
      <c r="I2414" s="639">
        <f>F2414/C2414</f>
        <v>-1.4429759930376858E-7</v>
      </c>
    </row>
    <row r="2415" spans="1:10" x14ac:dyDescent="0.25">
      <c r="A2415" s="575"/>
      <c r="B2415" s="561" t="s">
        <v>931</v>
      </c>
      <c r="C2415" s="579">
        <f>C2411-C2412-C2413-C2414</f>
        <v>-519213.30000000319</v>
      </c>
      <c r="D2415" s="579">
        <f>D2411-D2412-D2413-D2414</f>
        <v>-811070.34900000261</v>
      </c>
      <c r="E2415" s="579">
        <f>E2411-E2412-E2413-E2414</f>
        <v>1270249.5740000003</v>
      </c>
      <c r="F2415" s="579">
        <f t="shared" ref="F2415:H2415" si="361">F2411-F2412-F2413-F2414</f>
        <v>7.1000000000000008E-2</v>
      </c>
      <c r="G2415" s="579">
        <f>G2411-G2412-G2413-G2414</f>
        <v>1010642.3529999985</v>
      </c>
      <c r="H2415" s="579">
        <f t="shared" si="361"/>
        <v>-0.01</v>
      </c>
      <c r="I2415" s="639">
        <f>F2415/C2415</f>
        <v>-1.3674534146178377E-7</v>
      </c>
    </row>
    <row r="2416" spans="1:10" x14ac:dyDescent="0.25">
      <c r="A2416" s="670"/>
      <c r="B2416" s="691"/>
      <c r="C2416" s="802"/>
      <c r="D2416" s="735"/>
      <c r="E2416" s="735"/>
      <c r="F2416" s="777"/>
      <c r="G2416" s="731"/>
      <c r="H2416" s="581"/>
      <c r="I2416" s="659"/>
    </row>
    <row r="2417" spans="1:10" s="569" customFormat="1" x14ac:dyDescent="0.25">
      <c r="A2417" s="803"/>
      <c r="B2417" s="804"/>
      <c r="C2417" s="806"/>
      <c r="D2417" s="805"/>
      <c r="E2417" s="805"/>
      <c r="F2417" s="807"/>
      <c r="G2417" s="808"/>
      <c r="H2417" s="809"/>
      <c r="I2417" s="810"/>
      <c r="J2417" s="776"/>
    </row>
    <row r="2418" spans="1:10" x14ac:dyDescent="0.25">
      <c r="A2418" s="670"/>
      <c r="B2418" s="691"/>
      <c r="C2418" s="812"/>
      <c r="D2418" s="735"/>
      <c r="E2418" s="735"/>
      <c r="F2418" s="777"/>
      <c r="G2418" s="731"/>
      <c r="H2418" s="581"/>
      <c r="I2418" s="659"/>
    </row>
    <row r="2419" spans="1:10" ht="60" x14ac:dyDescent="0.25">
      <c r="A2419" s="670"/>
      <c r="B2419" s="813" t="s">
        <v>1286</v>
      </c>
      <c r="C2419" s="812"/>
      <c r="D2419" s="735"/>
      <c r="E2419" s="735"/>
      <c r="F2419" s="777"/>
      <c r="G2419" s="731"/>
      <c r="H2419" s="581"/>
      <c r="I2419" s="659"/>
    </row>
    <row r="2420" spans="1:10" x14ac:dyDescent="0.25">
      <c r="A2420" s="670"/>
      <c r="B2420" s="691"/>
      <c r="C2420" s="812"/>
      <c r="D2420" s="735"/>
      <c r="E2420" s="735"/>
      <c r="F2420" s="777"/>
      <c r="G2420" s="731"/>
      <c r="H2420" s="581"/>
      <c r="I2420" s="659"/>
    </row>
    <row r="2448" spans="1:10" s="569" customFormat="1" x14ac:dyDescent="0.25">
      <c r="A2448" s="622"/>
      <c r="B2448" s="622"/>
      <c r="C2448" s="640"/>
      <c r="D2448" s="622"/>
      <c r="E2448" s="622"/>
      <c r="F2448" s="640"/>
      <c r="G2448" s="622"/>
      <c r="H2448" s="641"/>
      <c r="I2448" s="622"/>
      <c r="J2448" s="776"/>
    </row>
    <row r="2480" spans="1:10" s="569" customFormat="1" x14ac:dyDescent="0.25">
      <c r="A2480" s="622"/>
      <c r="B2480" s="622"/>
      <c r="C2480" s="640"/>
      <c r="D2480" s="622"/>
      <c r="E2480" s="622"/>
      <c r="F2480" s="640"/>
      <c r="G2480" s="622"/>
      <c r="H2480" s="641"/>
      <c r="I2480" s="622"/>
      <c r="J2480" s="776"/>
    </row>
    <row r="2497" spans="1:10" s="569" customFormat="1" x14ac:dyDescent="0.25">
      <c r="A2497" s="622"/>
      <c r="B2497" s="622"/>
      <c r="C2497" s="640"/>
      <c r="D2497" s="622"/>
      <c r="E2497" s="622"/>
      <c r="F2497" s="640"/>
      <c r="G2497" s="622"/>
      <c r="H2497" s="641"/>
      <c r="I2497" s="622"/>
      <c r="J2497" s="776"/>
    </row>
    <row r="2519" spans="1:10" s="569" customFormat="1" x14ac:dyDescent="0.25">
      <c r="A2519" s="622"/>
      <c r="B2519" s="622"/>
      <c r="C2519" s="640"/>
      <c r="D2519" s="622"/>
      <c r="E2519" s="622"/>
      <c r="F2519" s="640"/>
      <c r="G2519" s="622"/>
      <c r="H2519" s="641"/>
      <c r="I2519" s="622"/>
      <c r="J2519" s="776"/>
    </row>
    <row r="2528" spans="1:10" s="569" customFormat="1" x14ac:dyDescent="0.25">
      <c r="A2528" s="622"/>
      <c r="B2528" s="622"/>
      <c r="C2528" s="640"/>
      <c r="D2528" s="622"/>
      <c r="E2528" s="622"/>
      <c r="F2528" s="640"/>
      <c r="G2528" s="622"/>
      <c r="H2528" s="641"/>
      <c r="I2528" s="622"/>
      <c r="J2528" s="776"/>
    </row>
    <row r="2535" ht="13.9" customHeight="1" x14ac:dyDescent="0.25"/>
    <row r="2552" spans="1:10" s="569" customFormat="1" x14ac:dyDescent="0.25">
      <c r="A2552" s="622"/>
      <c r="B2552" s="622"/>
      <c r="C2552" s="640"/>
      <c r="D2552" s="622"/>
      <c r="E2552" s="622"/>
      <c r="F2552" s="640"/>
      <c r="G2552" s="622"/>
      <c r="H2552" s="641"/>
      <c r="I2552" s="622"/>
      <c r="J2552" s="776"/>
    </row>
    <row r="2574" spans="1:10" s="569" customFormat="1" x14ac:dyDescent="0.25">
      <c r="A2574" s="622"/>
      <c r="B2574" s="622"/>
      <c r="C2574" s="640"/>
      <c r="D2574" s="622"/>
      <c r="E2574" s="622"/>
      <c r="F2574" s="640"/>
      <c r="G2574" s="622"/>
      <c r="H2574" s="641"/>
      <c r="I2574" s="622"/>
      <c r="J2574" s="776"/>
    </row>
    <row r="2598" spans="1:10" s="569" customFormat="1" x14ac:dyDescent="0.25">
      <c r="A2598" s="622"/>
      <c r="B2598" s="622"/>
      <c r="C2598" s="640"/>
      <c r="D2598" s="622"/>
      <c r="E2598" s="622"/>
      <c r="F2598" s="640"/>
      <c r="G2598" s="622"/>
      <c r="H2598" s="641"/>
      <c r="I2598" s="622"/>
      <c r="J2598" s="776"/>
    </row>
    <row r="2616" spans="1:10" s="569" customFormat="1" x14ac:dyDescent="0.25">
      <c r="A2616" s="622"/>
      <c r="B2616" s="622"/>
      <c r="C2616" s="640"/>
      <c r="D2616" s="622"/>
      <c r="E2616" s="622"/>
      <c r="F2616" s="640"/>
      <c r="G2616" s="622"/>
      <c r="H2616" s="641"/>
      <c r="I2616" s="622"/>
      <c r="J2616" s="776"/>
    </row>
    <row r="2627" spans="1:10" s="569" customFormat="1" x14ac:dyDescent="0.25">
      <c r="A2627" s="622"/>
      <c r="B2627" s="622"/>
      <c r="C2627" s="640"/>
      <c r="D2627" s="622"/>
      <c r="E2627" s="622"/>
      <c r="F2627" s="640"/>
      <c r="G2627" s="622"/>
      <c r="H2627" s="641"/>
      <c r="I2627" s="622"/>
      <c r="J2627" s="776"/>
    </row>
    <row r="2641" spans="1:10" s="569" customFormat="1" x14ac:dyDescent="0.25">
      <c r="A2641" s="622"/>
      <c r="B2641" s="622"/>
      <c r="C2641" s="640"/>
      <c r="D2641" s="622"/>
      <c r="E2641" s="622"/>
      <c r="F2641" s="640"/>
      <c r="G2641" s="622"/>
      <c r="H2641" s="641"/>
      <c r="I2641" s="622"/>
      <c r="J2641" s="776"/>
    </row>
    <row r="2658" spans="1:10" s="569" customFormat="1" x14ac:dyDescent="0.25">
      <c r="A2658" s="622"/>
      <c r="B2658" s="622"/>
      <c r="C2658" s="640"/>
      <c r="D2658" s="622"/>
      <c r="E2658" s="622"/>
      <c r="F2658" s="640"/>
      <c r="G2658" s="622"/>
      <c r="H2658" s="641"/>
      <c r="I2658" s="622"/>
      <c r="J2658" s="776"/>
    </row>
    <row r="2679" spans="1:10" s="569" customFormat="1" x14ac:dyDescent="0.25">
      <c r="A2679" s="622"/>
      <c r="B2679" s="622"/>
      <c r="C2679" s="640"/>
      <c r="D2679" s="622"/>
      <c r="E2679" s="622"/>
      <c r="F2679" s="640"/>
      <c r="G2679" s="622"/>
      <c r="H2679" s="641"/>
      <c r="I2679" s="622"/>
      <c r="J2679" s="776"/>
    </row>
    <row r="2691" spans="1:10" s="569" customFormat="1" x14ac:dyDescent="0.25">
      <c r="A2691" s="622"/>
      <c r="B2691" s="622"/>
      <c r="C2691" s="640"/>
      <c r="D2691" s="622"/>
      <c r="E2691" s="622"/>
      <c r="F2691" s="640"/>
      <c r="G2691" s="622"/>
      <c r="H2691" s="641"/>
      <c r="I2691" s="622"/>
      <c r="J2691" s="776"/>
    </row>
    <row r="2701" spans="1:10" s="569" customFormat="1" x14ac:dyDescent="0.25">
      <c r="A2701" s="622"/>
      <c r="B2701" s="622"/>
      <c r="C2701" s="640"/>
      <c r="D2701" s="622"/>
      <c r="E2701" s="622"/>
      <c r="F2701" s="640"/>
      <c r="G2701" s="622"/>
      <c r="H2701" s="641"/>
      <c r="I2701" s="622"/>
      <c r="J2701" s="776"/>
    </row>
    <row r="2718" spans="1:10" s="569" customFormat="1" x14ac:dyDescent="0.25">
      <c r="A2718" s="622"/>
      <c r="B2718" s="622"/>
      <c r="C2718" s="640"/>
      <c r="D2718" s="622"/>
      <c r="E2718" s="622"/>
      <c r="F2718" s="640"/>
      <c r="G2718" s="622"/>
      <c r="H2718" s="641"/>
      <c r="I2718" s="622"/>
      <c r="J2718" s="776"/>
    </row>
    <row r="2743" spans="1:10" s="569" customFormat="1" x14ac:dyDescent="0.25">
      <c r="A2743" s="622"/>
      <c r="B2743" s="622"/>
      <c r="C2743" s="640"/>
      <c r="D2743" s="622"/>
      <c r="E2743" s="622"/>
      <c r="F2743" s="640"/>
      <c r="G2743" s="622"/>
      <c r="H2743" s="641"/>
      <c r="I2743" s="622"/>
      <c r="J2743" s="776"/>
    </row>
    <row r="2762" spans="1:10" s="569" customFormat="1" x14ac:dyDescent="0.25">
      <c r="A2762" s="622"/>
      <c r="B2762" s="622"/>
      <c r="C2762" s="640"/>
      <c r="D2762" s="622"/>
      <c r="E2762" s="622"/>
      <c r="F2762" s="640"/>
      <c r="G2762" s="622"/>
      <c r="H2762" s="641"/>
      <c r="I2762" s="622"/>
      <c r="J2762" s="776"/>
    </row>
    <row r="2784" spans="1:10" s="569" customFormat="1" x14ac:dyDescent="0.25">
      <c r="A2784" s="622"/>
      <c r="B2784" s="622"/>
      <c r="C2784" s="640"/>
      <c r="D2784" s="622"/>
      <c r="E2784" s="622"/>
      <c r="F2784" s="640"/>
      <c r="G2784" s="622"/>
      <c r="H2784" s="641"/>
      <c r="I2784" s="622"/>
      <c r="J2784" s="776"/>
    </row>
    <row r="2791" spans="1:10" s="569" customFormat="1" x14ac:dyDescent="0.25">
      <c r="A2791" s="622"/>
      <c r="B2791" s="622"/>
      <c r="C2791" s="640"/>
      <c r="D2791" s="622"/>
      <c r="E2791" s="622"/>
      <c r="F2791" s="640"/>
      <c r="G2791" s="622"/>
      <c r="H2791" s="641"/>
      <c r="I2791" s="622"/>
      <c r="J2791" s="776"/>
    </row>
    <row r="2816" spans="1:143" s="943" customFormat="1" x14ac:dyDescent="0.25">
      <c r="A2816" s="622"/>
      <c r="B2816" s="622"/>
      <c r="C2816" s="640"/>
      <c r="D2816" s="622"/>
      <c r="E2816" s="622"/>
      <c r="F2816" s="640"/>
      <c r="G2816" s="622"/>
      <c r="H2816" s="641"/>
      <c r="I2816" s="622"/>
      <c r="J2816" s="942"/>
      <c r="BN2816" s="944"/>
      <c r="BO2816" s="944"/>
      <c r="BP2816" s="944"/>
      <c r="BQ2816" s="944"/>
      <c r="BR2816" s="944"/>
      <c r="BS2816" s="944"/>
      <c r="BT2816" s="944"/>
      <c r="BU2816" s="944"/>
      <c r="BV2816" s="944"/>
      <c r="BW2816" s="944"/>
      <c r="BX2816" s="944"/>
      <c r="BY2816" s="944"/>
      <c r="BZ2816" s="944"/>
      <c r="CA2816" s="944"/>
      <c r="CB2816" s="944"/>
      <c r="CC2816" s="944"/>
      <c r="CD2816" s="944"/>
      <c r="CE2816" s="944"/>
      <c r="CF2816" s="944"/>
      <c r="CG2816" s="944"/>
      <c r="CH2816" s="944"/>
      <c r="CI2816" s="944"/>
      <c r="CJ2816" s="944"/>
      <c r="CK2816" s="944"/>
      <c r="CL2816" s="944"/>
      <c r="CM2816" s="944"/>
      <c r="CN2816" s="944"/>
      <c r="CO2816" s="944"/>
      <c r="CP2816" s="944"/>
      <c r="CQ2816" s="944"/>
      <c r="CR2816" s="944"/>
      <c r="CS2816" s="944"/>
      <c r="CT2816" s="944"/>
      <c r="CU2816" s="944"/>
      <c r="CV2816" s="944"/>
      <c r="CW2816" s="944"/>
      <c r="CX2816" s="944"/>
      <c r="CY2816" s="944"/>
      <c r="CZ2816" s="944"/>
      <c r="DA2816" s="944"/>
      <c r="DB2816" s="944"/>
      <c r="DC2816" s="944"/>
      <c r="DD2816" s="944"/>
      <c r="DE2816" s="944"/>
      <c r="DF2816" s="944"/>
      <c r="DG2816" s="944"/>
      <c r="DH2816" s="944"/>
      <c r="DI2816" s="944"/>
      <c r="DJ2816" s="944"/>
      <c r="DK2816" s="944"/>
      <c r="DL2816" s="944"/>
      <c r="DM2816" s="944"/>
      <c r="DN2816" s="944"/>
      <c r="DO2816" s="944"/>
      <c r="DP2816" s="944"/>
      <c r="DQ2816" s="944"/>
      <c r="DR2816" s="944"/>
      <c r="DS2816" s="944"/>
      <c r="DT2816" s="944"/>
      <c r="DU2816" s="944"/>
      <c r="DV2816" s="944"/>
      <c r="DW2816" s="944"/>
      <c r="DX2816" s="944"/>
      <c r="DY2816" s="944"/>
      <c r="DZ2816" s="944"/>
      <c r="EA2816" s="944"/>
      <c r="EB2816" s="944"/>
      <c r="EC2816" s="944"/>
      <c r="ED2816" s="944"/>
      <c r="EE2816" s="944"/>
      <c r="EF2816" s="944"/>
      <c r="EG2816" s="944"/>
      <c r="EH2816" s="944"/>
      <c r="EI2816" s="944"/>
      <c r="EJ2816" s="944"/>
      <c r="EK2816" s="944"/>
      <c r="EL2816" s="944"/>
      <c r="EM2816" s="944"/>
    </row>
    <row r="2821" spans="1:10" s="569" customFormat="1" x14ac:dyDescent="0.25">
      <c r="A2821" s="622"/>
      <c r="B2821" s="622"/>
      <c r="C2821" s="640"/>
      <c r="D2821" s="622"/>
      <c r="E2821" s="622"/>
      <c r="F2821" s="640"/>
      <c r="G2821" s="622"/>
      <c r="H2821" s="641"/>
      <c r="I2821" s="622"/>
      <c r="J2821" s="776"/>
    </row>
    <row r="2851" spans="1:10" s="569" customFormat="1" x14ac:dyDescent="0.25">
      <c r="A2851" s="622"/>
      <c r="B2851" s="622"/>
      <c r="C2851" s="640"/>
      <c r="D2851" s="622"/>
      <c r="E2851" s="622"/>
      <c r="F2851" s="640"/>
      <c r="G2851" s="622"/>
      <c r="H2851" s="641"/>
      <c r="I2851" s="622"/>
      <c r="J2851" s="776"/>
    </row>
    <row r="2892" spans="1:10" s="569" customFormat="1" x14ac:dyDescent="0.25">
      <c r="A2892" s="622"/>
      <c r="B2892" s="622"/>
      <c r="C2892" s="640"/>
      <c r="D2892" s="622"/>
      <c r="E2892" s="622"/>
      <c r="F2892" s="640"/>
      <c r="G2892" s="622"/>
      <c r="H2892" s="641"/>
      <c r="I2892" s="622"/>
      <c r="J2892" s="776"/>
    </row>
    <row r="2913" spans="1:11" s="569" customFormat="1" x14ac:dyDescent="0.25">
      <c r="A2913" s="622"/>
      <c r="B2913" s="622"/>
      <c r="C2913" s="640"/>
      <c r="D2913" s="622"/>
      <c r="E2913" s="622"/>
      <c r="F2913" s="640"/>
      <c r="G2913" s="622"/>
      <c r="H2913" s="641"/>
      <c r="I2913" s="622"/>
      <c r="J2913" s="567"/>
      <c r="K2913" s="568"/>
    </row>
    <row r="2914" spans="1:11" x14ac:dyDescent="0.25">
      <c r="J2914" s="567"/>
      <c r="K2914" s="568"/>
    </row>
    <row r="2915" spans="1:11" x14ac:dyDescent="0.25">
      <c r="J2915" s="567"/>
      <c r="K2915" s="568"/>
    </row>
    <row r="2916" spans="1:11" x14ac:dyDescent="0.25">
      <c r="J2916" s="567"/>
      <c r="K2916" s="568"/>
    </row>
    <row r="2917" spans="1:11" x14ac:dyDescent="0.25">
      <c r="J2917" s="567"/>
      <c r="K2917" s="568"/>
    </row>
    <row r="2918" spans="1:11" x14ac:dyDescent="0.25">
      <c r="J2918" s="567"/>
      <c r="K2918" s="568"/>
    </row>
    <row r="2919" spans="1:11" x14ac:dyDescent="0.25">
      <c r="J2919" s="567"/>
      <c r="K2919" s="568"/>
    </row>
    <row r="2920" spans="1:11" x14ac:dyDescent="0.25">
      <c r="J2920" s="567"/>
      <c r="K2920" s="568"/>
    </row>
    <row r="2921" spans="1:11" x14ac:dyDescent="0.25">
      <c r="J2921" s="567"/>
      <c r="K2921" s="568"/>
    </row>
    <row r="2922" spans="1:11" x14ac:dyDescent="0.25">
      <c r="J2922" s="567"/>
      <c r="K2922" s="568"/>
    </row>
    <row r="2923" spans="1:11" x14ac:dyDescent="0.25">
      <c r="J2923" s="567"/>
      <c r="K2923" s="568"/>
    </row>
    <row r="2924" spans="1:11" x14ac:dyDescent="0.25">
      <c r="J2924" s="567"/>
      <c r="K2924" s="568"/>
    </row>
    <row r="2925" spans="1:11" x14ac:dyDescent="0.25">
      <c r="J2925" s="567"/>
      <c r="K2925" s="568"/>
    </row>
    <row r="2926" spans="1:11" x14ac:dyDescent="0.25">
      <c r="J2926" s="567"/>
      <c r="K2926" s="568"/>
    </row>
    <row r="2927" spans="1:11" x14ac:dyDescent="0.25">
      <c r="J2927" s="567"/>
      <c r="K2927" s="568"/>
    </row>
    <row r="2928" spans="1:11" s="569" customFormat="1" x14ac:dyDescent="0.25">
      <c r="A2928" s="622"/>
      <c r="B2928" s="622"/>
      <c r="C2928" s="640"/>
      <c r="D2928" s="622"/>
      <c r="E2928" s="622"/>
      <c r="F2928" s="640"/>
      <c r="G2928" s="622"/>
      <c r="H2928" s="641"/>
      <c r="I2928" s="622"/>
      <c r="J2928" s="567"/>
      <c r="K2928" s="568"/>
    </row>
    <row r="2929" spans="1:11" s="569" customFormat="1" x14ac:dyDescent="0.25">
      <c r="A2929" s="622"/>
      <c r="B2929" s="622"/>
      <c r="C2929" s="640"/>
      <c r="D2929" s="622"/>
      <c r="E2929" s="622"/>
      <c r="F2929" s="640"/>
      <c r="G2929" s="622"/>
      <c r="H2929" s="641"/>
      <c r="I2929" s="622"/>
      <c r="J2929" s="567"/>
      <c r="K2929" s="568"/>
    </row>
    <row r="2930" spans="1:11" s="569" customFormat="1" x14ac:dyDescent="0.25">
      <c r="A2930" s="622"/>
      <c r="B2930" s="622"/>
      <c r="C2930" s="640"/>
      <c r="D2930" s="622"/>
      <c r="E2930" s="622"/>
      <c r="F2930" s="640"/>
      <c r="G2930" s="622"/>
      <c r="H2930" s="641"/>
      <c r="I2930" s="622"/>
      <c r="J2930" s="567"/>
      <c r="K2930" s="568"/>
    </row>
    <row r="2931" spans="1:11" s="569" customFormat="1" x14ac:dyDescent="0.25">
      <c r="A2931" s="622"/>
      <c r="B2931" s="622"/>
      <c r="C2931" s="640"/>
      <c r="D2931" s="622"/>
      <c r="E2931" s="622"/>
      <c r="F2931" s="640"/>
      <c r="G2931" s="622"/>
      <c r="H2931" s="641"/>
      <c r="I2931" s="622"/>
      <c r="J2931" s="567"/>
      <c r="K2931" s="568"/>
    </row>
    <row r="2932" spans="1:11" s="569" customFormat="1" x14ac:dyDescent="0.25">
      <c r="A2932" s="622"/>
      <c r="B2932" s="622"/>
      <c r="C2932" s="640"/>
      <c r="D2932" s="622"/>
      <c r="E2932" s="622"/>
      <c r="F2932" s="640"/>
      <c r="G2932" s="622"/>
      <c r="H2932" s="641"/>
      <c r="I2932" s="622"/>
      <c r="J2932" s="567"/>
      <c r="K2932" s="568"/>
    </row>
    <row r="2933" spans="1:11" s="569" customFormat="1" x14ac:dyDescent="0.25">
      <c r="A2933" s="622"/>
      <c r="B2933" s="622"/>
      <c r="C2933" s="640"/>
      <c r="D2933" s="622"/>
      <c r="E2933" s="622"/>
      <c r="F2933" s="640"/>
      <c r="G2933" s="622"/>
      <c r="H2933" s="641"/>
      <c r="I2933" s="622"/>
      <c r="J2933" s="567"/>
      <c r="K2933" s="568"/>
    </row>
    <row r="2934" spans="1:11" s="569" customFormat="1" x14ac:dyDescent="0.25">
      <c r="A2934" s="622"/>
      <c r="B2934" s="622"/>
      <c r="C2934" s="640"/>
      <c r="D2934" s="622"/>
      <c r="E2934" s="622"/>
      <c r="F2934" s="640"/>
      <c r="G2934" s="622"/>
      <c r="H2934" s="641"/>
      <c r="I2934" s="622"/>
      <c r="J2934" s="567"/>
      <c r="K2934" s="568"/>
    </row>
    <row r="2935" spans="1:11" s="569" customFormat="1" x14ac:dyDescent="0.25">
      <c r="A2935" s="622"/>
      <c r="B2935" s="622"/>
      <c r="C2935" s="640"/>
      <c r="D2935" s="622"/>
      <c r="E2935" s="622"/>
      <c r="F2935" s="640"/>
      <c r="G2935" s="622"/>
      <c r="H2935" s="641"/>
      <c r="I2935" s="622"/>
      <c r="J2935" s="567"/>
      <c r="K2935" s="568"/>
    </row>
    <row r="2936" spans="1:11" s="569" customFormat="1" x14ac:dyDescent="0.25">
      <c r="A2936" s="622"/>
      <c r="B2936" s="622"/>
      <c r="C2936" s="640"/>
      <c r="D2936" s="622"/>
      <c r="E2936" s="622"/>
      <c r="F2936" s="640"/>
      <c r="G2936" s="622"/>
      <c r="H2936" s="641"/>
      <c r="I2936" s="622"/>
      <c r="J2936" s="567"/>
      <c r="K2936" s="568"/>
    </row>
    <row r="2937" spans="1:11" s="569" customFormat="1" x14ac:dyDescent="0.25">
      <c r="A2937" s="622"/>
      <c r="B2937" s="622"/>
      <c r="C2937" s="640"/>
      <c r="D2937" s="622"/>
      <c r="E2937" s="622"/>
      <c r="F2937" s="640"/>
      <c r="G2937" s="622"/>
      <c r="H2937" s="641"/>
      <c r="I2937" s="622"/>
      <c r="J2937" s="567"/>
      <c r="K2937" s="568"/>
    </row>
    <row r="2938" spans="1:11" s="569" customFormat="1" x14ac:dyDescent="0.25">
      <c r="A2938" s="622"/>
      <c r="B2938" s="622"/>
      <c r="C2938" s="640"/>
      <c r="D2938" s="622"/>
      <c r="E2938" s="622"/>
      <c r="F2938" s="640"/>
      <c r="G2938" s="622"/>
      <c r="H2938" s="641"/>
      <c r="I2938" s="622"/>
      <c r="J2938" s="567"/>
      <c r="K2938" s="568"/>
    </row>
    <row r="2939" spans="1:11" s="569" customFormat="1" x14ac:dyDescent="0.25">
      <c r="A2939" s="622"/>
      <c r="B2939" s="622"/>
      <c r="C2939" s="640"/>
      <c r="D2939" s="622"/>
      <c r="E2939" s="622"/>
      <c r="F2939" s="640"/>
      <c r="G2939" s="622"/>
      <c r="H2939" s="641"/>
      <c r="I2939" s="622"/>
      <c r="J2939" s="567"/>
      <c r="K2939" s="568"/>
    </row>
    <row r="2940" spans="1:11" s="569" customFormat="1" x14ac:dyDescent="0.25">
      <c r="A2940" s="622"/>
      <c r="B2940" s="622"/>
      <c r="C2940" s="640"/>
      <c r="D2940" s="622"/>
      <c r="E2940" s="622"/>
      <c r="F2940" s="640"/>
      <c r="G2940" s="622"/>
      <c r="H2940" s="641"/>
      <c r="I2940" s="622"/>
      <c r="J2940" s="567"/>
      <c r="K2940" s="568"/>
    </row>
    <row r="2941" spans="1:11" s="569" customFormat="1" x14ac:dyDescent="0.25">
      <c r="A2941" s="622"/>
      <c r="B2941" s="622"/>
      <c r="C2941" s="640"/>
      <c r="D2941" s="622"/>
      <c r="E2941" s="622"/>
      <c r="F2941" s="640"/>
      <c r="G2941" s="622"/>
      <c r="H2941" s="641"/>
      <c r="I2941" s="622"/>
      <c r="J2941" s="567"/>
      <c r="K2941" s="568"/>
    </row>
    <row r="2942" spans="1:11" s="569" customFormat="1" x14ac:dyDescent="0.25">
      <c r="A2942" s="622"/>
      <c r="B2942" s="622"/>
      <c r="C2942" s="640"/>
      <c r="D2942" s="622"/>
      <c r="E2942" s="622"/>
      <c r="F2942" s="640"/>
      <c r="G2942" s="622"/>
      <c r="H2942" s="641"/>
      <c r="I2942" s="622"/>
      <c r="J2942" s="567"/>
      <c r="K2942" s="568"/>
    </row>
    <row r="2943" spans="1:11" s="569" customFormat="1" x14ac:dyDescent="0.25">
      <c r="A2943" s="622"/>
      <c r="B2943" s="622"/>
      <c r="C2943" s="640"/>
      <c r="D2943" s="622"/>
      <c r="E2943" s="622"/>
      <c r="F2943" s="640"/>
      <c r="G2943" s="622"/>
      <c r="H2943" s="641"/>
      <c r="I2943" s="622"/>
      <c r="J2943" s="567"/>
      <c r="K2943" s="568"/>
    </row>
    <row r="2944" spans="1:11" s="569" customFormat="1" x14ac:dyDescent="0.25">
      <c r="A2944" s="622"/>
      <c r="B2944" s="622"/>
      <c r="C2944" s="640"/>
      <c r="D2944" s="622"/>
      <c r="E2944" s="622"/>
      <c r="F2944" s="640"/>
      <c r="G2944" s="622"/>
      <c r="H2944" s="641"/>
      <c r="I2944" s="622"/>
      <c r="J2944" s="567"/>
      <c r="K2944" s="568"/>
    </row>
    <row r="2945" spans="1:11" s="569" customFormat="1" x14ac:dyDescent="0.25">
      <c r="A2945" s="622"/>
      <c r="B2945" s="622"/>
      <c r="C2945" s="640"/>
      <c r="D2945" s="622"/>
      <c r="E2945" s="622"/>
      <c r="F2945" s="640"/>
      <c r="G2945" s="622"/>
      <c r="H2945" s="641"/>
      <c r="I2945" s="622"/>
      <c r="J2945" s="567"/>
      <c r="K2945" s="568"/>
    </row>
    <row r="2946" spans="1:11" s="569" customFormat="1" x14ac:dyDescent="0.25">
      <c r="A2946" s="622"/>
      <c r="B2946" s="622"/>
      <c r="C2946" s="640"/>
      <c r="D2946" s="622"/>
      <c r="E2946" s="622"/>
      <c r="F2946" s="640"/>
      <c r="G2946" s="622"/>
      <c r="H2946" s="641"/>
      <c r="I2946" s="622"/>
      <c r="J2946" s="567"/>
      <c r="K2946" s="568"/>
    </row>
    <row r="2947" spans="1:11" x14ac:dyDescent="0.25">
      <c r="J2947" s="567"/>
      <c r="K2947" s="568"/>
    </row>
    <row r="2948" spans="1:11" x14ac:dyDescent="0.25">
      <c r="J2948" s="567"/>
      <c r="K2948" s="568"/>
    </row>
    <row r="2949" spans="1:11" x14ac:dyDescent="0.25">
      <c r="J2949" s="567"/>
      <c r="K2949" s="568"/>
    </row>
    <row r="2950" spans="1:11" x14ac:dyDescent="0.25">
      <c r="J2950" s="567"/>
      <c r="K2950" s="568"/>
    </row>
    <row r="2951" spans="1:11" x14ac:dyDescent="0.25">
      <c r="J2951" s="567"/>
      <c r="K2951" s="695"/>
    </row>
    <row r="2952" spans="1:11" x14ac:dyDescent="0.25">
      <c r="J2952" s="567"/>
      <c r="K2952" s="568"/>
    </row>
    <row r="2953" spans="1:11" x14ac:dyDescent="0.25">
      <c r="J2953" s="567"/>
      <c r="K2953" s="568"/>
    </row>
    <row r="2954" spans="1:11" s="569" customFormat="1" x14ac:dyDescent="0.25">
      <c r="A2954" s="622"/>
      <c r="B2954" s="622"/>
      <c r="C2954" s="640"/>
      <c r="D2954" s="622"/>
      <c r="E2954" s="622"/>
      <c r="F2954" s="640"/>
      <c r="G2954" s="622"/>
      <c r="H2954" s="641"/>
      <c r="I2954" s="622"/>
      <c r="J2954" s="567"/>
      <c r="K2954" s="568"/>
    </row>
    <row r="2955" spans="1:11" s="569" customFormat="1" x14ac:dyDescent="0.25">
      <c r="A2955" s="622"/>
      <c r="B2955" s="622"/>
      <c r="C2955" s="640"/>
      <c r="D2955" s="622"/>
      <c r="E2955" s="622"/>
      <c r="F2955" s="640"/>
      <c r="G2955" s="622"/>
      <c r="H2955" s="641"/>
      <c r="I2955" s="622"/>
      <c r="J2955" s="567"/>
      <c r="K2955" s="568"/>
    </row>
    <row r="2956" spans="1:11" s="569" customFormat="1" x14ac:dyDescent="0.25">
      <c r="A2956" s="622"/>
      <c r="B2956" s="622"/>
      <c r="C2956" s="640"/>
      <c r="D2956" s="622"/>
      <c r="E2956" s="622"/>
      <c r="F2956" s="640"/>
      <c r="G2956" s="622"/>
      <c r="H2956" s="641"/>
      <c r="I2956" s="622"/>
      <c r="J2956" s="567"/>
      <c r="K2956" s="568"/>
    </row>
    <row r="2957" spans="1:11" s="569" customFormat="1" x14ac:dyDescent="0.25">
      <c r="A2957" s="622"/>
      <c r="B2957" s="622"/>
      <c r="C2957" s="640"/>
      <c r="D2957" s="622"/>
      <c r="E2957" s="622"/>
      <c r="F2957" s="640"/>
      <c r="G2957" s="622"/>
      <c r="H2957" s="641"/>
      <c r="I2957" s="622"/>
      <c r="J2957" s="567"/>
      <c r="K2957" s="568"/>
    </row>
    <row r="2958" spans="1:11" s="569" customFormat="1" x14ac:dyDescent="0.25">
      <c r="A2958" s="622"/>
      <c r="B2958" s="622"/>
      <c r="C2958" s="640"/>
      <c r="D2958" s="622"/>
      <c r="E2958" s="622"/>
      <c r="F2958" s="640"/>
      <c r="G2958" s="622"/>
      <c r="H2958" s="641"/>
      <c r="I2958" s="622"/>
      <c r="J2958" s="567"/>
      <c r="K2958" s="568"/>
    </row>
    <row r="2959" spans="1:11" s="569" customFormat="1" x14ac:dyDescent="0.25">
      <c r="A2959" s="622"/>
      <c r="B2959" s="622"/>
      <c r="C2959" s="640"/>
      <c r="D2959" s="622"/>
      <c r="E2959" s="622"/>
      <c r="F2959" s="640"/>
      <c r="G2959" s="622"/>
      <c r="H2959" s="641"/>
      <c r="I2959" s="622"/>
      <c r="J2959" s="567"/>
      <c r="K2959" s="568"/>
    </row>
    <row r="2960" spans="1:11" s="569" customFormat="1" x14ac:dyDescent="0.25">
      <c r="A2960" s="622"/>
      <c r="B2960" s="622"/>
      <c r="C2960" s="640"/>
      <c r="D2960" s="622"/>
      <c r="E2960" s="622"/>
      <c r="F2960" s="640"/>
      <c r="G2960" s="622"/>
      <c r="H2960" s="641"/>
      <c r="I2960" s="622"/>
      <c r="J2960" s="567"/>
      <c r="K2960" s="568"/>
    </row>
    <row r="2961" spans="1:11" s="569" customFormat="1" x14ac:dyDescent="0.25">
      <c r="A2961" s="622"/>
      <c r="B2961" s="622"/>
      <c r="C2961" s="640"/>
      <c r="D2961" s="622"/>
      <c r="E2961" s="622"/>
      <c r="F2961" s="640"/>
      <c r="G2961" s="622"/>
      <c r="H2961" s="641"/>
      <c r="I2961" s="622"/>
      <c r="J2961" s="567"/>
      <c r="K2961" s="568"/>
    </row>
    <row r="2962" spans="1:11" s="569" customFormat="1" x14ac:dyDescent="0.25">
      <c r="A2962" s="622"/>
      <c r="B2962" s="622"/>
      <c r="C2962" s="640"/>
      <c r="D2962" s="622"/>
      <c r="E2962" s="622"/>
      <c r="F2962" s="640"/>
      <c r="G2962" s="622"/>
      <c r="H2962" s="641"/>
      <c r="I2962" s="622"/>
      <c r="J2962" s="567"/>
      <c r="K2962" s="568"/>
    </row>
    <row r="2963" spans="1:11" s="569" customFormat="1" x14ac:dyDescent="0.25">
      <c r="A2963" s="622"/>
      <c r="B2963" s="622"/>
      <c r="C2963" s="640"/>
      <c r="D2963" s="622"/>
      <c r="E2963" s="622"/>
      <c r="F2963" s="640"/>
      <c r="G2963" s="622"/>
      <c r="H2963" s="641"/>
      <c r="I2963" s="622"/>
      <c r="J2963" s="567"/>
      <c r="K2963" s="568"/>
    </row>
    <row r="2964" spans="1:11" s="569" customFormat="1" x14ac:dyDescent="0.25">
      <c r="A2964" s="622"/>
      <c r="B2964" s="622"/>
      <c r="C2964" s="640"/>
      <c r="D2964" s="622"/>
      <c r="E2964" s="622"/>
      <c r="F2964" s="640"/>
      <c r="G2964" s="622"/>
      <c r="H2964" s="641"/>
      <c r="I2964" s="622"/>
      <c r="J2964" s="567"/>
      <c r="K2964" s="568"/>
    </row>
    <row r="2965" spans="1:11" x14ac:dyDescent="0.25">
      <c r="J2965" s="567"/>
      <c r="K2965" s="568"/>
    </row>
    <row r="2966" spans="1:11" x14ac:dyDescent="0.25">
      <c r="J2966" s="567"/>
      <c r="K2966" s="568"/>
    </row>
    <row r="2967" spans="1:11" x14ac:dyDescent="0.25">
      <c r="J2967" s="567"/>
      <c r="K2967" s="568"/>
    </row>
    <row r="2968" spans="1:11" x14ac:dyDescent="0.25">
      <c r="J2968" s="567"/>
      <c r="K2968" s="568"/>
    </row>
    <row r="2969" spans="1:11" x14ac:dyDescent="0.25">
      <c r="J2969" s="567"/>
      <c r="K2969" s="568"/>
    </row>
    <row r="2970" spans="1:11" x14ac:dyDescent="0.25">
      <c r="J2970" s="567"/>
      <c r="K2970" s="568"/>
    </row>
    <row r="2971" spans="1:11" x14ac:dyDescent="0.25">
      <c r="J2971" s="567"/>
      <c r="K2971" s="568"/>
    </row>
    <row r="2972" spans="1:11" x14ac:dyDescent="0.25">
      <c r="J2972" s="567"/>
      <c r="K2972" s="568"/>
    </row>
    <row r="2973" spans="1:11" x14ac:dyDescent="0.25">
      <c r="J2973" s="567"/>
      <c r="K2973" s="568"/>
    </row>
    <row r="2974" spans="1:11" x14ac:dyDescent="0.25">
      <c r="J2974" s="567"/>
      <c r="K2974" s="568"/>
    </row>
    <row r="2975" spans="1:11" s="569" customFormat="1" x14ac:dyDescent="0.25">
      <c r="A2975" s="622"/>
      <c r="B2975" s="622"/>
      <c r="C2975" s="640"/>
      <c r="D2975" s="622"/>
      <c r="E2975" s="622"/>
      <c r="F2975" s="640"/>
      <c r="G2975" s="622"/>
      <c r="H2975" s="641"/>
      <c r="I2975" s="622"/>
      <c r="J2975" s="567"/>
      <c r="K2975" s="568"/>
    </row>
    <row r="2976" spans="1:11" x14ac:dyDescent="0.25">
      <c r="J2976" s="567"/>
      <c r="K2976" s="568"/>
    </row>
    <row r="2977" spans="10:11" x14ac:dyDescent="0.25">
      <c r="J2977" s="567"/>
      <c r="K2977" s="568"/>
    </row>
    <row r="2978" spans="10:11" x14ac:dyDescent="0.25">
      <c r="J2978" s="567"/>
      <c r="K2978" s="568"/>
    </row>
    <row r="2979" spans="10:11" x14ac:dyDescent="0.25">
      <c r="J2979" s="567"/>
      <c r="K2979" s="568"/>
    </row>
    <row r="2980" spans="10:11" x14ac:dyDescent="0.25">
      <c r="J2980" s="655"/>
      <c r="K2980" s="568"/>
    </row>
    <row r="2981" spans="10:11" x14ac:dyDescent="0.25">
      <c r="J2981" s="655"/>
      <c r="K2981" s="568"/>
    </row>
    <row r="2982" spans="10:11" x14ac:dyDescent="0.25">
      <c r="J2982" s="567"/>
      <c r="K2982" s="568"/>
    </row>
    <row r="2983" spans="10:11" x14ac:dyDescent="0.25">
      <c r="J2983" s="655"/>
      <c r="K2983" s="568"/>
    </row>
    <row r="2984" spans="10:11" x14ac:dyDescent="0.25">
      <c r="J2984" s="567"/>
      <c r="K2984" s="568"/>
    </row>
    <row r="2985" spans="10:11" x14ac:dyDescent="0.25">
      <c r="J2985" s="567"/>
      <c r="K2985" s="568"/>
    </row>
    <row r="2986" spans="10:11" x14ac:dyDescent="0.25">
      <c r="J2986" s="567"/>
      <c r="K2986" s="568"/>
    </row>
    <row r="2987" spans="10:11" x14ac:dyDescent="0.25">
      <c r="J2987" s="567"/>
      <c r="K2987" s="568"/>
    </row>
    <row r="2988" spans="10:11" x14ac:dyDescent="0.25">
      <c r="J2988" s="567"/>
      <c r="K2988" s="568"/>
    </row>
    <row r="2989" spans="10:11" x14ac:dyDescent="0.25">
      <c r="J2989" s="567"/>
      <c r="K2989" s="568"/>
    </row>
    <row r="2990" spans="10:11" x14ac:dyDescent="0.25">
      <c r="J2990" s="567"/>
      <c r="K2990" s="568"/>
    </row>
    <row r="2991" spans="10:11" x14ac:dyDescent="0.25">
      <c r="J2991" s="567"/>
      <c r="K2991" s="568"/>
    </row>
    <row r="2992" spans="10:11" x14ac:dyDescent="0.25">
      <c r="J2992" s="567"/>
      <c r="K2992" s="568"/>
    </row>
    <row r="2993" spans="1:11" x14ac:dyDescent="0.25">
      <c r="J2993" s="567"/>
      <c r="K2993" s="568"/>
    </row>
    <row r="2994" spans="1:11" x14ac:dyDescent="0.25">
      <c r="J2994" s="567"/>
      <c r="K2994" s="568"/>
    </row>
    <row r="2995" spans="1:11" x14ac:dyDescent="0.25">
      <c r="J2995" s="567"/>
      <c r="K2995" s="568"/>
    </row>
    <row r="2996" spans="1:11" x14ac:dyDescent="0.25">
      <c r="J2996" s="567"/>
      <c r="K2996" s="568"/>
    </row>
    <row r="2997" spans="1:11" x14ac:dyDescent="0.25">
      <c r="J2997" s="567"/>
      <c r="K2997" s="568"/>
    </row>
    <row r="2998" spans="1:11" s="569" customFormat="1" x14ac:dyDescent="0.25">
      <c r="A2998" s="622"/>
      <c r="B2998" s="622"/>
      <c r="C2998" s="640"/>
      <c r="D2998" s="622"/>
      <c r="E2998" s="622"/>
      <c r="F2998" s="640"/>
      <c r="G2998" s="622"/>
      <c r="H2998" s="641"/>
      <c r="I2998" s="622"/>
      <c r="J2998" s="567"/>
      <c r="K2998" s="568"/>
    </row>
    <row r="2999" spans="1:11" s="569" customFormat="1" x14ac:dyDescent="0.25">
      <c r="A2999" s="622"/>
      <c r="B2999" s="622"/>
      <c r="C2999" s="640"/>
      <c r="D2999" s="622"/>
      <c r="E2999" s="622"/>
      <c r="F2999" s="640"/>
      <c r="G2999" s="622"/>
      <c r="H2999" s="641"/>
      <c r="I2999" s="622"/>
      <c r="J2999" s="567"/>
      <c r="K2999" s="568"/>
    </row>
    <row r="3000" spans="1:11" s="569" customFormat="1" x14ac:dyDescent="0.25">
      <c r="A3000" s="622"/>
      <c r="B3000" s="622"/>
      <c r="C3000" s="640"/>
      <c r="D3000" s="622"/>
      <c r="E3000" s="622"/>
      <c r="F3000" s="640"/>
      <c r="G3000" s="622"/>
      <c r="H3000" s="641"/>
      <c r="I3000" s="622"/>
      <c r="J3000" s="567"/>
      <c r="K3000" s="568"/>
    </row>
    <row r="3001" spans="1:11" s="569" customFormat="1" x14ac:dyDescent="0.25">
      <c r="A3001" s="622"/>
      <c r="B3001" s="622"/>
      <c r="C3001" s="640"/>
      <c r="D3001" s="622"/>
      <c r="E3001" s="622"/>
      <c r="F3001" s="640"/>
      <c r="G3001" s="622"/>
      <c r="H3001" s="641"/>
      <c r="I3001" s="622"/>
      <c r="J3001" s="567"/>
      <c r="K3001" s="568"/>
    </row>
    <row r="3002" spans="1:11" s="569" customFormat="1" x14ac:dyDescent="0.25">
      <c r="A3002" s="622"/>
      <c r="B3002" s="622"/>
      <c r="C3002" s="640"/>
      <c r="D3002" s="622"/>
      <c r="E3002" s="622"/>
      <c r="F3002" s="640"/>
      <c r="G3002" s="622"/>
      <c r="H3002" s="641"/>
      <c r="I3002" s="622"/>
      <c r="J3002" s="567"/>
      <c r="K3002" s="568"/>
    </row>
    <row r="3003" spans="1:11" s="569" customFormat="1" x14ac:dyDescent="0.25">
      <c r="A3003" s="622"/>
      <c r="B3003" s="622"/>
      <c r="C3003" s="640"/>
      <c r="D3003" s="622"/>
      <c r="E3003" s="622"/>
      <c r="F3003" s="640"/>
      <c r="G3003" s="622"/>
      <c r="H3003" s="641"/>
      <c r="I3003" s="622"/>
      <c r="J3003" s="567"/>
      <c r="K3003" s="568"/>
    </row>
    <row r="3004" spans="1:11" s="569" customFormat="1" x14ac:dyDescent="0.25">
      <c r="A3004" s="622"/>
      <c r="B3004" s="622"/>
      <c r="C3004" s="640"/>
      <c r="D3004" s="622"/>
      <c r="E3004" s="622"/>
      <c r="F3004" s="640"/>
      <c r="G3004" s="622"/>
      <c r="H3004" s="641"/>
      <c r="I3004" s="622"/>
      <c r="J3004" s="567"/>
      <c r="K3004" s="568"/>
    </row>
    <row r="3005" spans="1:11" x14ac:dyDescent="0.25">
      <c r="J3005" s="567"/>
      <c r="K3005" s="568"/>
    </row>
    <row r="3006" spans="1:11" x14ac:dyDescent="0.25">
      <c r="J3006" s="567"/>
      <c r="K3006" s="568"/>
    </row>
    <row r="3007" spans="1:11" x14ac:dyDescent="0.25">
      <c r="J3007" s="567"/>
      <c r="K3007" s="568"/>
    </row>
    <row r="3008" spans="1:11" x14ac:dyDescent="0.25">
      <c r="J3008" s="567"/>
      <c r="K3008" s="568"/>
    </row>
    <row r="3009" spans="1:11" x14ac:dyDescent="0.25">
      <c r="J3009" s="567"/>
      <c r="K3009" s="568"/>
    </row>
    <row r="3010" spans="1:11" x14ac:dyDescent="0.25">
      <c r="J3010" s="567"/>
      <c r="K3010" s="568"/>
    </row>
    <row r="3011" spans="1:11" x14ac:dyDescent="0.25">
      <c r="J3011" s="567"/>
      <c r="K3011" s="568"/>
    </row>
    <row r="3012" spans="1:11" x14ac:dyDescent="0.25">
      <c r="J3012" s="567"/>
      <c r="K3012" s="568"/>
    </row>
    <row r="3013" spans="1:11" x14ac:dyDescent="0.25">
      <c r="J3013" s="567"/>
      <c r="K3013" s="568"/>
    </row>
    <row r="3014" spans="1:11" x14ac:dyDescent="0.25">
      <c r="J3014" s="567"/>
      <c r="K3014" s="568"/>
    </row>
    <row r="3015" spans="1:11" ht="13.5" customHeight="1" x14ac:dyDescent="0.25">
      <c r="J3015" s="567"/>
      <c r="K3015" s="568"/>
    </row>
    <row r="3016" spans="1:11" x14ac:dyDescent="0.25">
      <c r="J3016" s="567"/>
      <c r="K3016" s="568"/>
    </row>
    <row r="3017" spans="1:11" x14ac:dyDescent="0.25">
      <c r="J3017" s="567"/>
      <c r="K3017" s="568"/>
    </row>
    <row r="3018" spans="1:11" x14ac:dyDescent="0.25">
      <c r="J3018" s="567"/>
      <c r="K3018" s="568"/>
    </row>
    <row r="3019" spans="1:11" x14ac:dyDescent="0.25">
      <c r="J3019" s="567"/>
      <c r="K3019" s="568"/>
    </row>
    <row r="3020" spans="1:11" x14ac:dyDescent="0.25">
      <c r="J3020" s="567"/>
      <c r="K3020" s="568"/>
    </row>
    <row r="3021" spans="1:11" x14ac:dyDescent="0.25">
      <c r="J3021" s="567"/>
      <c r="K3021" s="568"/>
    </row>
    <row r="3022" spans="1:11" x14ac:dyDescent="0.25">
      <c r="J3022" s="567"/>
      <c r="K3022" s="568"/>
    </row>
    <row r="3023" spans="1:11" x14ac:dyDescent="0.25">
      <c r="J3023" s="567"/>
      <c r="K3023" s="568"/>
    </row>
    <row r="3024" spans="1:11" s="569" customFormat="1" x14ac:dyDescent="0.25">
      <c r="A3024" s="622"/>
      <c r="B3024" s="622"/>
      <c r="C3024" s="640"/>
      <c r="D3024" s="622"/>
      <c r="E3024" s="622"/>
      <c r="F3024" s="640"/>
      <c r="G3024" s="622"/>
      <c r="H3024" s="641"/>
      <c r="I3024" s="622"/>
      <c r="J3024" s="567"/>
      <c r="K3024" s="568"/>
    </row>
    <row r="3025" spans="1:11" s="569" customFormat="1" x14ac:dyDescent="0.25">
      <c r="A3025" s="622"/>
      <c r="B3025" s="622"/>
      <c r="C3025" s="640"/>
      <c r="D3025" s="622"/>
      <c r="E3025" s="622"/>
      <c r="F3025" s="640"/>
      <c r="G3025" s="622"/>
      <c r="H3025" s="641"/>
      <c r="I3025" s="622"/>
      <c r="J3025" s="567"/>
      <c r="K3025" s="568"/>
    </row>
    <row r="3026" spans="1:11" s="569" customFormat="1" x14ac:dyDescent="0.25">
      <c r="A3026" s="622"/>
      <c r="B3026" s="622"/>
      <c r="C3026" s="640"/>
      <c r="D3026" s="622"/>
      <c r="E3026" s="622"/>
      <c r="F3026" s="640"/>
      <c r="G3026" s="622"/>
      <c r="H3026" s="641"/>
      <c r="I3026" s="622"/>
      <c r="J3026" s="567"/>
      <c r="K3026" s="568"/>
    </row>
    <row r="3027" spans="1:11" s="569" customFormat="1" x14ac:dyDescent="0.25">
      <c r="A3027" s="622"/>
      <c r="B3027" s="622"/>
      <c r="C3027" s="640"/>
      <c r="D3027" s="622"/>
      <c r="E3027" s="622"/>
      <c r="F3027" s="640"/>
      <c r="G3027" s="622"/>
      <c r="H3027" s="641"/>
      <c r="I3027" s="622"/>
      <c r="J3027" s="567"/>
      <c r="K3027" s="568"/>
    </row>
    <row r="3028" spans="1:11" s="569" customFormat="1" x14ac:dyDescent="0.25">
      <c r="A3028" s="622"/>
      <c r="B3028" s="622"/>
      <c r="C3028" s="640"/>
      <c r="D3028" s="622"/>
      <c r="E3028" s="622"/>
      <c r="F3028" s="640"/>
      <c r="G3028" s="622"/>
      <c r="H3028" s="641"/>
      <c r="I3028" s="622"/>
      <c r="J3028" s="567"/>
      <c r="K3028" s="568"/>
    </row>
    <row r="3029" spans="1:11" s="569" customFormat="1" x14ac:dyDescent="0.25">
      <c r="A3029" s="622"/>
      <c r="B3029" s="622"/>
      <c r="C3029" s="640"/>
      <c r="D3029" s="622"/>
      <c r="E3029" s="622"/>
      <c r="F3029" s="640"/>
      <c r="G3029" s="622"/>
      <c r="H3029" s="641"/>
      <c r="I3029" s="622"/>
      <c r="J3029" s="567"/>
      <c r="K3029" s="568"/>
    </row>
    <row r="3030" spans="1:11" x14ac:dyDescent="0.25">
      <c r="J3030" s="567"/>
      <c r="K3030" s="568"/>
    </row>
    <row r="3031" spans="1:11" x14ac:dyDescent="0.25">
      <c r="J3031" s="567"/>
      <c r="K3031" s="568"/>
    </row>
    <row r="3032" spans="1:11" s="569" customFormat="1" x14ac:dyDescent="0.25">
      <c r="A3032" s="622"/>
      <c r="B3032" s="622"/>
      <c r="C3032" s="640"/>
      <c r="D3032" s="622"/>
      <c r="E3032" s="622"/>
      <c r="F3032" s="640"/>
      <c r="G3032" s="622"/>
      <c r="H3032" s="641"/>
      <c r="I3032" s="622"/>
      <c r="J3032" s="567"/>
      <c r="K3032" s="568"/>
    </row>
    <row r="3033" spans="1:11" x14ac:dyDescent="0.25">
      <c r="J3033" s="567"/>
      <c r="K3033" s="568"/>
    </row>
    <row r="3034" spans="1:11" x14ac:dyDescent="0.25">
      <c r="J3034" s="567"/>
      <c r="K3034" s="568"/>
    </row>
    <row r="3035" spans="1:11" x14ac:dyDescent="0.25">
      <c r="J3035" s="567"/>
      <c r="K3035" s="568"/>
    </row>
    <row r="3036" spans="1:11" x14ac:dyDescent="0.25">
      <c r="J3036" s="567"/>
      <c r="K3036" s="568"/>
    </row>
    <row r="3037" spans="1:11" x14ac:dyDescent="0.25">
      <c r="J3037" s="567"/>
      <c r="K3037" s="568"/>
    </row>
    <row r="3038" spans="1:11" x14ac:dyDescent="0.25">
      <c r="J3038" s="567"/>
      <c r="K3038" s="568"/>
    </row>
    <row r="3039" spans="1:11" x14ac:dyDescent="0.25">
      <c r="J3039" s="567"/>
      <c r="K3039" s="568"/>
    </row>
    <row r="3040" spans="1:11" x14ac:dyDescent="0.25">
      <c r="J3040" s="567"/>
      <c r="K3040" s="568"/>
    </row>
    <row r="3041" spans="1:11" x14ac:dyDescent="0.25">
      <c r="J3041" s="567"/>
      <c r="K3041" s="691"/>
    </row>
    <row r="3042" spans="1:11" x14ac:dyDescent="0.25">
      <c r="J3042" s="567"/>
      <c r="K3042" s="691"/>
    </row>
    <row r="3043" spans="1:11" x14ac:dyDescent="0.25">
      <c r="J3043" s="567"/>
      <c r="K3043" s="568"/>
    </row>
    <row r="3044" spans="1:11" x14ac:dyDescent="0.25">
      <c r="J3044" s="567"/>
      <c r="K3044" s="568"/>
    </row>
    <row r="3045" spans="1:11" x14ac:dyDescent="0.25">
      <c r="J3045" s="567"/>
      <c r="K3045" s="568"/>
    </row>
    <row r="3046" spans="1:11" x14ac:dyDescent="0.25">
      <c r="J3046" s="567"/>
      <c r="K3046" s="568"/>
    </row>
    <row r="3047" spans="1:11" x14ac:dyDescent="0.25">
      <c r="J3047" s="567"/>
      <c r="K3047" s="568"/>
    </row>
    <row r="3048" spans="1:11" s="569" customFormat="1" x14ac:dyDescent="0.25">
      <c r="A3048" s="622"/>
      <c r="B3048" s="622"/>
      <c r="C3048" s="640"/>
      <c r="D3048" s="622"/>
      <c r="E3048" s="622"/>
      <c r="F3048" s="640"/>
      <c r="G3048" s="622"/>
      <c r="H3048" s="641"/>
      <c r="I3048" s="622"/>
      <c r="J3048" s="567"/>
      <c r="K3048" s="568"/>
    </row>
    <row r="3049" spans="1:11" x14ac:dyDescent="0.25">
      <c r="J3049" s="567"/>
      <c r="K3049" s="568"/>
    </row>
    <row r="3050" spans="1:11" x14ac:dyDescent="0.25">
      <c r="J3050" s="567"/>
      <c r="K3050" s="568"/>
    </row>
    <row r="3051" spans="1:11" x14ac:dyDescent="0.25">
      <c r="J3051" s="567"/>
      <c r="K3051" s="568"/>
    </row>
    <row r="3052" spans="1:11" x14ac:dyDescent="0.25">
      <c r="J3052" s="567"/>
      <c r="K3052" s="568"/>
    </row>
    <row r="3053" spans="1:11" x14ac:dyDescent="0.25">
      <c r="J3053" s="567"/>
      <c r="K3053" s="568"/>
    </row>
    <row r="3054" spans="1:11" x14ac:dyDescent="0.25">
      <c r="J3054" s="567"/>
      <c r="K3054" s="568"/>
    </row>
    <row r="3055" spans="1:11" s="569" customFormat="1" x14ac:dyDescent="0.25">
      <c r="A3055" s="622"/>
      <c r="B3055" s="622"/>
      <c r="C3055" s="640"/>
      <c r="D3055" s="622"/>
      <c r="E3055" s="622"/>
      <c r="F3055" s="640"/>
      <c r="G3055" s="622"/>
      <c r="H3055" s="641"/>
      <c r="I3055" s="622"/>
      <c r="J3055" s="567"/>
      <c r="K3055" s="568"/>
    </row>
    <row r="3056" spans="1:11" x14ac:dyDescent="0.25">
      <c r="J3056" s="567"/>
      <c r="K3056" s="568"/>
    </row>
    <row r="3057" spans="1:11" x14ac:dyDescent="0.25">
      <c r="J3057" s="567"/>
      <c r="K3057" s="568"/>
    </row>
    <row r="3058" spans="1:11" x14ac:dyDescent="0.25">
      <c r="J3058" s="567"/>
      <c r="K3058" s="568"/>
    </row>
    <row r="3059" spans="1:11" x14ac:dyDescent="0.25">
      <c r="J3059" s="567"/>
      <c r="K3059" s="568"/>
    </row>
    <row r="3060" spans="1:11" x14ac:dyDescent="0.25">
      <c r="J3060" s="567"/>
      <c r="K3060" s="568"/>
    </row>
    <row r="3061" spans="1:11" s="728" customFormat="1" ht="12.6" customHeight="1" x14ac:dyDescent="0.25">
      <c r="A3061" s="622"/>
      <c r="B3061" s="622"/>
      <c r="C3061" s="640"/>
      <c r="D3061" s="622"/>
      <c r="E3061" s="622"/>
      <c r="F3061" s="640"/>
      <c r="G3061" s="622"/>
      <c r="H3061" s="641"/>
      <c r="I3061" s="622"/>
      <c r="J3061" s="793"/>
      <c r="K3061" s="727"/>
    </row>
    <row r="3062" spans="1:11" x14ac:dyDescent="0.25">
      <c r="J3062" s="567"/>
      <c r="K3062" s="568"/>
    </row>
    <row r="3063" spans="1:11" x14ac:dyDescent="0.25">
      <c r="J3063" s="567"/>
      <c r="K3063" s="568"/>
    </row>
    <row r="3064" spans="1:11" x14ac:dyDescent="0.25">
      <c r="J3064" s="567"/>
      <c r="K3064" s="568"/>
    </row>
    <row r="3065" spans="1:11" x14ac:dyDescent="0.25">
      <c r="J3065" s="567"/>
      <c r="K3065" s="568"/>
    </row>
    <row r="3066" spans="1:11" x14ac:dyDescent="0.25">
      <c r="J3066" s="567"/>
      <c r="K3066" s="568"/>
    </row>
    <row r="3067" spans="1:11" x14ac:dyDescent="0.25">
      <c r="J3067" s="567"/>
      <c r="K3067" s="568"/>
    </row>
    <row r="3068" spans="1:11" x14ac:dyDescent="0.25">
      <c r="J3068" s="567"/>
      <c r="K3068" s="691"/>
    </row>
    <row r="3069" spans="1:11" x14ac:dyDescent="0.25">
      <c r="J3069" s="567"/>
      <c r="K3069" s="691"/>
    </row>
    <row r="3070" spans="1:11" x14ac:dyDescent="0.25">
      <c r="J3070" s="567"/>
      <c r="K3070" s="691"/>
    </row>
    <row r="3071" spans="1:11" x14ac:dyDescent="0.25">
      <c r="J3071" s="567"/>
      <c r="K3071" s="691"/>
    </row>
    <row r="3072" spans="1:11" x14ac:dyDescent="0.25">
      <c r="J3072" s="567"/>
      <c r="K3072" s="777"/>
    </row>
    <row r="3073" spans="1:11" x14ac:dyDescent="0.25">
      <c r="J3073" s="567"/>
      <c r="K3073" s="691"/>
    </row>
    <row r="3074" spans="1:11" x14ac:dyDescent="0.25">
      <c r="J3074" s="685"/>
      <c r="K3074" s="691"/>
    </row>
    <row r="3075" spans="1:11" x14ac:dyDescent="0.25">
      <c r="J3075" s="567"/>
      <c r="K3075" s="691"/>
    </row>
    <row r="3076" spans="1:11" x14ac:dyDescent="0.25">
      <c r="J3076" s="567"/>
      <c r="K3076" s="691"/>
    </row>
    <row r="3077" spans="1:11" s="569" customFormat="1" x14ac:dyDescent="0.25">
      <c r="A3077" s="622"/>
      <c r="B3077" s="622"/>
      <c r="C3077" s="640"/>
      <c r="D3077" s="622"/>
      <c r="E3077" s="622"/>
      <c r="F3077" s="640"/>
      <c r="G3077" s="622"/>
      <c r="H3077" s="641"/>
      <c r="I3077" s="622"/>
      <c r="J3077" s="567"/>
      <c r="K3077" s="691"/>
    </row>
    <row r="3078" spans="1:11" x14ac:dyDescent="0.25">
      <c r="J3078" s="931"/>
      <c r="K3078" s="568"/>
    </row>
    <row r="3079" spans="1:11" x14ac:dyDescent="0.25">
      <c r="J3079" s="655"/>
      <c r="K3079" s="567"/>
    </row>
    <row r="3080" spans="1:11" x14ac:dyDescent="0.25">
      <c r="J3080" s="655"/>
      <c r="K3080" s="567"/>
    </row>
    <row r="3081" spans="1:11" x14ac:dyDescent="0.25">
      <c r="J3081" s="685"/>
      <c r="K3081" s="568"/>
    </row>
    <row r="3082" spans="1:11" x14ac:dyDescent="0.25">
      <c r="J3082" s="567"/>
      <c r="K3082" s="568"/>
    </row>
    <row r="3083" spans="1:11" x14ac:dyDescent="0.25">
      <c r="J3083" s="800"/>
      <c r="K3083" s="689"/>
    </row>
    <row r="3084" spans="1:11" x14ac:dyDescent="0.25">
      <c r="J3084" s="567"/>
      <c r="K3084" s="568"/>
    </row>
    <row r="3085" spans="1:11" x14ac:dyDescent="0.25">
      <c r="J3085" s="567"/>
      <c r="K3085" s="568"/>
    </row>
    <row r="3086" spans="1:11" x14ac:dyDescent="0.25">
      <c r="J3086" s="567"/>
      <c r="K3086" s="568"/>
    </row>
    <row r="3087" spans="1:11" x14ac:dyDescent="0.25">
      <c r="J3087" s="567"/>
      <c r="K3087" s="568"/>
    </row>
    <row r="3088" spans="1:11" ht="44.45" customHeight="1" x14ac:dyDescent="0.25">
      <c r="J3088" s="685"/>
      <c r="K3088" s="568"/>
    </row>
    <row r="3089" spans="10:11" ht="16.5" customHeight="1" x14ac:dyDescent="0.25">
      <c r="J3089" s="685"/>
      <c r="K3089" s="568"/>
    </row>
    <row r="3090" spans="10:11" ht="35.450000000000003" customHeight="1" x14ac:dyDescent="0.25">
      <c r="J3090" s="685"/>
      <c r="K3090" s="752"/>
    </row>
    <row r="3091" spans="10:11" x14ac:dyDescent="0.25">
      <c r="J3091" s="567"/>
      <c r="K3091" s="568"/>
    </row>
    <row r="3092" spans="10:11" x14ac:dyDescent="0.25">
      <c r="J3092" s="567"/>
      <c r="K3092" s="568"/>
    </row>
    <row r="3093" spans="10:11" x14ac:dyDescent="0.25">
      <c r="J3093" s="811"/>
      <c r="K3093" s="804"/>
    </row>
    <row r="3094" spans="10:11" x14ac:dyDescent="0.25">
      <c r="J3094" s="771"/>
      <c r="K3094" s="568"/>
    </row>
    <row r="3095" spans="10:11" x14ac:dyDescent="0.25">
      <c r="J3095" s="771"/>
      <c r="K3095" s="568"/>
    </row>
    <row r="3096" spans="10:11" x14ac:dyDescent="0.25">
      <c r="J3096" s="771"/>
      <c r="K3096" s="568"/>
    </row>
  </sheetData>
  <pageMargins left="0.7" right="0.7" top="0.75" bottom="0.75" header="0.3" footer="0.3"/>
  <pageSetup scale="71" orientation="portrait" useFirstPageNumber="1" r:id="rId1"/>
  <headerFooter>
    <oddFooter>Page &amp;P of &amp;N</oddFooter>
  </headerFooter>
  <rowBreaks count="48" manualBreakCount="48">
    <brk id="66" max="16383" man="1"/>
    <brk id="128" max="16383" man="1"/>
    <brk id="155" max="16383" man="1"/>
    <brk id="186" max="16383" man="1"/>
    <brk id="225" max="16383" man="1"/>
    <brk id="285" max="16383" man="1"/>
    <brk id="334" max="16383" man="1"/>
    <brk id="381" max="16383" man="1"/>
    <brk id="436" max="16383" man="1"/>
    <brk id="486" max="16383" man="1"/>
    <brk id="534" max="16383" man="1"/>
    <brk id="589" max="16383" man="1"/>
    <brk id="631" max="16383" man="1"/>
    <brk id="677" max="16383" man="1"/>
    <brk id="735" max="6" man="1"/>
    <brk id="795" max="6" man="1"/>
    <brk id="839" max="6" man="1"/>
    <brk id="893" max="6" man="1"/>
    <brk id="925" max="6" man="1"/>
    <brk id="966" max="6" man="1"/>
    <brk id="1010" max="6" man="1"/>
    <brk id="1059" max="6" man="1"/>
    <brk id="1108" max="6" man="1"/>
    <brk id="1152" max="6" man="1"/>
    <brk id="1197" max="6" man="1"/>
    <brk id="1246" max="6" man="1"/>
    <brk id="1295" max="6" man="1"/>
    <brk id="1338" max="6" man="1"/>
    <brk id="1394" max="6" man="1"/>
    <brk id="1445" max="6" man="1"/>
    <brk id="1497" max="6" man="1"/>
    <brk id="1565" max="6" man="1"/>
    <brk id="1616" max="6" man="1"/>
    <brk id="1654" max="6" man="1"/>
    <brk id="1708" max="6" man="1"/>
    <brk id="1768" max="6" man="1"/>
    <brk id="1817" max="6" man="1"/>
    <brk id="1872" max="6" man="1"/>
    <brk id="1918" max="6" man="1"/>
    <brk id="1978" max="6" man="1"/>
    <brk id="2039" max="6" man="1"/>
    <brk id="2096" max="6" man="1"/>
    <brk id="2142" max="6" man="1"/>
    <brk id="2205" max="6" man="1"/>
    <brk id="2932" max="16383" man="1"/>
    <brk id="2974" max="16383" man="1"/>
    <brk id="3032" max="16383" man="1"/>
    <brk id="30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26"/>
  <sheetViews>
    <sheetView topLeftCell="A289" workbookViewId="0">
      <selection activeCell="G326" sqref="A110:G326"/>
    </sheetView>
  </sheetViews>
  <sheetFormatPr defaultColWidth="8.85546875" defaultRowHeight="12.75" x14ac:dyDescent="0.2"/>
  <cols>
    <col min="1" max="1" width="15.5703125" style="5" customWidth="1"/>
    <col min="2" max="2" width="12.85546875" style="5" customWidth="1"/>
    <col min="3" max="3" width="62.140625" style="5" bestFit="1" customWidth="1"/>
    <col min="4" max="4" width="14.7109375" style="5" customWidth="1"/>
    <col min="5" max="5" width="18.7109375" style="5" customWidth="1"/>
    <col min="6" max="6" width="12.85546875" style="5" customWidth="1"/>
    <col min="7" max="7" width="13" style="5" customWidth="1"/>
    <col min="8" max="8" width="12.85546875" style="5" bestFit="1" customWidth="1"/>
    <col min="9" max="16384" width="8.85546875" style="5"/>
  </cols>
  <sheetData>
    <row r="1" spans="1:8" x14ac:dyDescent="0.2">
      <c r="A1" s="1" t="s">
        <v>935</v>
      </c>
      <c r="B1" s="2"/>
      <c r="C1" s="2"/>
      <c r="D1" s="2"/>
      <c r="E1" s="3"/>
      <c r="F1" s="3"/>
      <c r="G1" s="4"/>
      <c r="H1" s="4"/>
    </row>
    <row r="2" spans="1:8" ht="13.5" thickBot="1" x14ac:dyDescent="0.25">
      <c r="A2" s="6"/>
      <c r="B2" s="3"/>
      <c r="C2" s="3"/>
      <c r="D2" s="3"/>
      <c r="E2" s="3"/>
      <c r="F2" s="3"/>
      <c r="G2" s="4"/>
      <c r="H2" s="4"/>
    </row>
    <row r="3" spans="1:8" ht="13.5" thickBot="1" x14ac:dyDescent="0.25">
      <c r="A3" s="7">
        <v>2011</v>
      </c>
      <c r="B3" s="8" t="s">
        <v>936</v>
      </c>
      <c r="C3" s="8" t="s">
        <v>937</v>
      </c>
      <c r="D3" s="9" t="s">
        <v>938</v>
      </c>
      <c r="E3" s="10">
        <v>16.405999999999999</v>
      </c>
      <c r="F3" s="3"/>
      <c r="G3" s="4"/>
      <c r="H3" s="4"/>
    </row>
    <row r="4" spans="1:8" x14ac:dyDescent="0.2">
      <c r="A4" s="11" t="s">
        <v>939</v>
      </c>
      <c r="B4" s="12">
        <v>8.1646999999999998</v>
      </c>
      <c r="C4" s="13">
        <v>0.49766548823601126</v>
      </c>
      <c r="D4" s="14"/>
      <c r="E4" s="15">
        <v>40513</v>
      </c>
      <c r="F4" s="3"/>
      <c r="G4" s="4"/>
      <c r="H4" s="4"/>
    </row>
    <row r="5" spans="1:8" x14ac:dyDescent="0.2">
      <c r="A5" s="11" t="s">
        <v>940</v>
      </c>
      <c r="B5" s="12">
        <v>0.1103</v>
      </c>
      <c r="C5" s="13">
        <v>6.7231500670486407E-3</v>
      </c>
      <c r="D5" s="14"/>
      <c r="E5" s="16"/>
      <c r="F5" s="17"/>
      <c r="G5" s="4"/>
      <c r="H5" s="4"/>
    </row>
    <row r="6" spans="1:8" x14ac:dyDescent="0.2">
      <c r="A6" s="11" t="s">
        <v>941</v>
      </c>
      <c r="B6" s="12">
        <v>0.65680000000000005</v>
      </c>
      <c r="C6" s="13">
        <v>4.0034133853468247E-2</v>
      </c>
      <c r="D6" s="14"/>
      <c r="E6" s="16"/>
      <c r="F6" s="18"/>
      <c r="G6" s="4"/>
      <c r="H6" s="4"/>
    </row>
    <row r="7" spans="1:8" x14ac:dyDescent="0.2">
      <c r="A7" s="11" t="s">
        <v>942</v>
      </c>
      <c r="B7" s="12">
        <v>0.82</v>
      </c>
      <c r="C7" s="13">
        <v>4.9981714007070584E-2</v>
      </c>
      <c r="D7" s="14"/>
      <c r="E7" s="16"/>
      <c r="F7" s="19"/>
      <c r="G7" s="4"/>
      <c r="H7" s="4"/>
    </row>
    <row r="8" spans="1:8" x14ac:dyDescent="0.2">
      <c r="A8" s="11"/>
      <c r="B8" s="12"/>
      <c r="C8" s="13"/>
      <c r="D8" s="14"/>
      <c r="E8" s="16"/>
      <c r="F8" s="19"/>
      <c r="G8" s="4"/>
      <c r="H8" s="4"/>
    </row>
    <row r="9" spans="1:8" x14ac:dyDescent="0.2">
      <c r="A9" s="11"/>
      <c r="B9" s="12"/>
      <c r="C9" s="13"/>
      <c r="D9" s="14"/>
      <c r="E9" s="16"/>
      <c r="F9" s="19"/>
      <c r="G9" s="4"/>
      <c r="H9" s="4"/>
    </row>
    <row r="10" spans="1:8" x14ac:dyDescent="0.2">
      <c r="A10" s="11" t="s">
        <v>943</v>
      </c>
      <c r="B10" s="12">
        <v>0.217</v>
      </c>
      <c r="C10" s="13">
        <v>1.3226868218944289E-2</v>
      </c>
      <c r="D10" s="14"/>
      <c r="E10" s="16"/>
      <c r="F10" s="19"/>
      <c r="G10" s="4"/>
      <c r="H10" s="4"/>
    </row>
    <row r="11" spans="1:8" x14ac:dyDescent="0.2">
      <c r="A11" s="11" t="s">
        <v>944</v>
      </c>
      <c r="B11" s="20">
        <v>0.16469999999999999</v>
      </c>
      <c r="C11" s="13">
        <v>1.003901011824942E-2</v>
      </c>
      <c r="D11" s="14"/>
      <c r="E11" s="21"/>
      <c r="F11" s="19"/>
      <c r="G11" s="4"/>
      <c r="H11" s="4"/>
    </row>
    <row r="12" spans="1:8" x14ac:dyDescent="0.2">
      <c r="A12" s="11" t="s">
        <v>878</v>
      </c>
      <c r="B12" s="20">
        <v>6.2585999999999995</v>
      </c>
      <c r="C12" s="13">
        <v>0.38148238449347799</v>
      </c>
      <c r="D12" s="14"/>
      <c r="E12" s="16"/>
      <c r="F12" s="19"/>
      <c r="G12" s="4"/>
      <c r="H12" s="4"/>
    </row>
    <row r="13" spans="1:8" x14ac:dyDescent="0.2">
      <c r="A13" s="22" t="s">
        <v>945</v>
      </c>
      <c r="B13" s="20">
        <v>16.392099999999999</v>
      </c>
      <c r="C13" s="13">
        <v>0.99915274899427042</v>
      </c>
      <c r="D13" s="14"/>
      <c r="E13" s="16"/>
      <c r="F13" s="23"/>
      <c r="G13" s="4"/>
      <c r="H13" s="4"/>
    </row>
    <row r="14" spans="1:8" x14ac:dyDescent="0.2">
      <c r="A14" s="11"/>
      <c r="B14" s="12"/>
      <c r="C14" s="20" t="s">
        <v>946</v>
      </c>
      <c r="D14" s="14"/>
      <c r="E14" s="24" t="s">
        <v>947</v>
      </c>
      <c r="F14" s="19"/>
      <c r="G14" s="4"/>
      <c r="H14" s="4"/>
    </row>
    <row r="15" spans="1:8" x14ac:dyDescent="0.2">
      <c r="A15" s="11" t="s">
        <v>948</v>
      </c>
      <c r="B15" s="14"/>
      <c r="C15" s="25"/>
      <c r="D15" s="14"/>
      <c r="E15" s="15"/>
      <c r="F15" s="19"/>
      <c r="G15" s="4"/>
      <c r="H15" s="4"/>
    </row>
    <row r="16" spans="1:8" x14ac:dyDescent="0.2">
      <c r="A16" s="26">
        <v>61612110</v>
      </c>
      <c r="B16" s="14"/>
      <c r="C16" s="14" t="s">
        <v>949</v>
      </c>
      <c r="D16" s="14"/>
      <c r="E16" s="16"/>
      <c r="F16" s="27"/>
      <c r="G16" s="4"/>
      <c r="H16" s="4"/>
    </row>
    <row r="17" spans="1:8" x14ac:dyDescent="0.2">
      <c r="A17" s="26">
        <v>503044.39451700001</v>
      </c>
      <c r="B17" s="14" t="s">
        <v>939</v>
      </c>
      <c r="C17" s="28" t="s">
        <v>950</v>
      </c>
      <c r="D17" s="14"/>
      <c r="E17" s="16"/>
      <c r="F17" s="18"/>
      <c r="G17" s="4"/>
      <c r="H17" s="4"/>
    </row>
    <row r="18" spans="1:8" x14ac:dyDescent="0.2">
      <c r="A18" s="26">
        <v>6795.8157330000004</v>
      </c>
      <c r="B18" s="14" t="s">
        <v>940</v>
      </c>
      <c r="C18" s="14" t="s">
        <v>951</v>
      </c>
      <c r="D18" s="14"/>
      <c r="E18" s="16"/>
      <c r="F18" s="19"/>
      <c r="G18" s="4"/>
      <c r="H18" s="4"/>
    </row>
    <row r="19" spans="1:8" x14ac:dyDescent="0.2">
      <c r="A19" s="26">
        <v>40466.833848000002</v>
      </c>
      <c r="B19" s="14" t="s">
        <v>941</v>
      </c>
      <c r="C19" s="29"/>
      <c r="D19" s="14"/>
      <c r="E19" s="16"/>
      <c r="F19" s="19"/>
      <c r="G19" s="4"/>
      <c r="H19" s="4"/>
    </row>
    <row r="20" spans="1:8" x14ac:dyDescent="0.2">
      <c r="A20" s="26">
        <v>50521.930199999995</v>
      </c>
      <c r="B20" s="14" t="s">
        <v>942</v>
      </c>
      <c r="C20" s="14"/>
      <c r="D20" s="14"/>
      <c r="E20" s="16"/>
      <c r="F20" s="19"/>
      <c r="G20" s="4"/>
      <c r="H20" s="4"/>
    </row>
    <row r="21" spans="1:8" x14ac:dyDescent="0.2">
      <c r="A21" s="26">
        <v>13369.827869999999</v>
      </c>
      <c r="B21" s="14" t="s">
        <v>943</v>
      </c>
      <c r="C21" s="14"/>
      <c r="D21" s="30"/>
      <c r="E21" s="16"/>
      <c r="F21" s="19"/>
      <c r="G21" s="4"/>
      <c r="H21" s="4"/>
    </row>
    <row r="22" spans="1:8" x14ac:dyDescent="0.2">
      <c r="A22" s="26">
        <v>10147.514517</v>
      </c>
      <c r="B22" s="14" t="s">
        <v>952</v>
      </c>
      <c r="C22" s="14"/>
      <c r="D22" s="14"/>
      <c r="E22" s="16"/>
      <c r="F22" s="19"/>
      <c r="G22" s="4"/>
      <c r="H22" s="4"/>
    </row>
    <row r="23" spans="1:8" x14ac:dyDescent="0.2">
      <c r="A23" s="26">
        <v>385605.55164599995</v>
      </c>
      <c r="B23" s="14" t="s">
        <v>878</v>
      </c>
      <c r="C23" s="30"/>
      <c r="D23" s="30"/>
      <c r="E23" s="31"/>
      <c r="F23" s="19"/>
      <c r="G23" s="4"/>
      <c r="H23" s="4"/>
    </row>
    <row r="24" spans="1:8" x14ac:dyDescent="0.2">
      <c r="A24" s="26">
        <v>1009951.868331</v>
      </c>
      <c r="B24" s="14" t="s">
        <v>945</v>
      </c>
      <c r="C24" s="14" t="s">
        <v>953</v>
      </c>
      <c r="D24" s="32">
        <v>1006052</v>
      </c>
      <c r="E24" s="16"/>
      <c r="F24" s="19"/>
      <c r="G24" s="4"/>
      <c r="H24" s="4"/>
    </row>
    <row r="25" spans="1:8" ht="13.5" thickBot="1" x14ac:dyDescent="0.25">
      <c r="A25" s="33" t="s">
        <v>954</v>
      </c>
      <c r="B25" s="34"/>
      <c r="C25" s="34" t="s">
        <v>955</v>
      </c>
      <c r="D25" s="35">
        <v>3955</v>
      </c>
      <c r="E25" s="36" t="s">
        <v>956</v>
      </c>
      <c r="F25" s="19"/>
      <c r="G25" s="4"/>
      <c r="H25" s="4"/>
    </row>
    <row r="26" spans="1:8" x14ac:dyDescent="0.2">
      <c r="A26" s="19"/>
      <c r="B26" s="3"/>
      <c r="C26" s="3"/>
      <c r="D26" s="37"/>
      <c r="E26" s="19"/>
      <c r="F26" s="19"/>
      <c r="G26" s="4"/>
      <c r="H26" s="4"/>
    </row>
    <row r="27" spans="1:8" x14ac:dyDescent="0.2">
      <c r="A27" s="4"/>
      <c r="B27" s="3"/>
      <c r="C27" s="3"/>
      <c r="D27" s="3"/>
      <c r="E27" s="3"/>
      <c r="F27" s="19"/>
      <c r="G27" s="4"/>
      <c r="H27" s="4"/>
    </row>
    <row r="28" spans="1:8" ht="13.5" thickBot="1" x14ac:dyDescent="0.25">
      <c r="A28" s="4"/>
      <c r="B28" s="38"/>
      <c r="C28" s="3"/>
      <c r="D28" s="3"/>
      <c r="E28" s="3"/>
      <c r="F28" s="19"/>
      <c r="G28" s="4"/>
      <c r="H28" s="4"/>
    </row>
    <row r="29" spans="1:8" x14ac:dyDescent="0.2">
      <c r="A29" s="39">
        <v>2012</v>
      </c>
      <c r="B29" s="40" t="s">
        <v>936</v>
      </c>
      <c r="C29" s="41" t="s">
        <v>957</v>
      </c>
      <c r="D29" s="42" t="s">
        <v>937</v>
      </c>
      <c r="E29" s="43">
        <v>17.687000000000001</v>
      </c>
      <c r="F29" s="44" t="s">
        <v>958</v>
      </c>
      <c r="G29" s="45"/>
      <c r="H29" s="4"/>
    </row>
    <row r="30" spans="1:8" ht="13.5" thickBot="1" x14ac:dyDescent="0.25">
      <c r="A30" s="46" t="s">
        <v>939</v>
      </c>
      <c r="B30" s="47">
        <f>10.22-0.435+0.0029</f>
        <v>9.7879000000000005</v>
      </c>
      <c r="C30" s="48">
        <f>(9.787*61767360)/1000</f>
        <v>604517.15232000011</v>
      </c>
      <c r="D30" s="49">
        <f>9.788/17.252</f>
        <v>0.5673545096220729</v>
      </c>
      <c r="E30" s="50">
        <v>40878</v>
      </c>
      <c r="F30" s="51"/>
      <c r="G30" s="52">
        <v>17.251999999999999</v>
      </c>
      <c r="H30" s="4"/>
    </row>
    <row r="31" spans="1:8" x14ac:dyDescent="0.2">
      <c r="A31" s="46" t="s">
        <v>940</v>
      </c>
      <c r="B31" s="47">
        <v>0.121</v>
      </c>
      <c r="C31" s="48">
        <f>(0.121*61767360)/1000</f>
        <v>7473.8505599999999</v>
      </c>
      <c r="D31" s="49">
        <f>0.121/17.252</f>
        <v>7.0136795733827962E-3</v>
      </c>
      <c r="E31" s="53"/>
      <c r="F31" s="54"/>
      <c r="G31" s="55"/>
      <c r="H31" s="4"/>
    </row>
    <row r="32" spans="1:8" x14ac:dyDescent="0.2">
      <c r="A32" s="46" t="s">
        <v>941</v>
      </c>
      <c r="B32" s="47">
        <f>17.252*0.034</f>
        <v>0.58656799999999998</v>
      </c>
      <c r="C32" s="48">
        <f>(0.587*61767360)/1000</f>
        <v>36257.440320000002</v>
      </c>
      <c r="D32" s="49">
        <f>0.587/17.252</f>
        <v>3.4025040575005799E-2</v>
      </c>
      <c r="E32" s="54"/>
      <c r="F32" s="54"/>
      <c r="G32" s="55"/>
      <c r="H32" s="4"/>
    </row>
    <row r="33" spans="1:8" x14ac:dyDescent="0.2">
      <c r="A33" s="46" t="s">
        <v>942</v>
      </c>
      <c r="B33" s="47">
        <v>0.81</v>
      </c>
      <c r="C33" s="48">
        <f>(0.81*61767360)/1000</f>
        <v>50031.561600000001</v>
      </c>
      <c r="D33" s="49">
        <f>0.81/17.252</f>
        <v>4.695107813586831E-2</v>
      </c>
      <c r="E33" s="54"/>
      <c r="F33" s="54"/>
      <c r="G33" s="55"/>
      <c r="H33" s="4"/>
    </row>
    <row r="34" spans="1:8" x14ac:dyDescent="0.2">
      <c r="A34" s="46" t="s">
        <v>943</v>
      </c>
      <c r="B34" s="47">
        <f>17.252*0.018</f>
        <v>0.31053599999999998</v>
      </c>
      <c r="C34" s="48">
        <f>(0.311*61767360)/1000</f>
        <v>19209.648960000002</v>
      </c>
      <c r="D34" s="49">
        <f>0.311/17.252</f>
        <v>1.8026895432413634E-2</v>
      </c>
      <c r="E34" s="54"/>
      <c r="F34" s="54"/>
      <c r="G34" s="55"/>
      <c r="H34" s="4"/>
    </row>
    <row r="35" spans="1:8" x14ac:dyDescent="0.2">
      <c r="A35" s="46" t="s">
        <v>944</v>
      </c>
      <c r="B35" s="56">
        <f>17.252*0.01</f>
        <v>0.17251999999999998</v>
      </c>
      <c r="C35" s="48">
        <f>(0.173*61767360)/1000</f>
        <v>10685.753279999999</v>
      </c>
      <c r="D35" s="49">
        <f>0.173/17.252</f>
        <v>1.0027822861117551E-2</v>
      </c>
      <c r="E35" s="57" t="s">
        <v>959</v>
      </c>
      <c r="F35" s="57"/>
      <c r="G35" s="55"/>
      <c r="H35" s="4"/>
    </row>
    <row r="36" spans="1:8" x14ac:dyDescent="0.2">
      <c r="A36" s="46" t="s">
        <v>878</v>
      </c>
      <c r="B36" s="56">
        <v>5.4630000000000001</v>
      </c>
      <c r="C36" s="48">
        <f>(5.463*61767360)/1000</f>
        <v>337435.08768</v>
      </c>
      <c r="D36" s="49">
        <f>5.463/17.252</f>
        <v>0.31665893809413403</v>
      </c>
      <c r="E36" s="54"/>
      <c r="F36" s="54"/>
      <c r="G36" s="55"/>
      <c r="H36" s="4"/>
    </row>
    <row r="37" spans="1:8" x14ac:dyDescent="0.2">
      <c r="A37" s="46"/>
      <c r="B37" s="56"/>
      <c r="C37" s="48"/>
      <c r="D37" s="49"/>
      <c r="E37" s="54"/>
      <c r="F37" s="54"/>
      <c r="G37" s="55"/>
      <c r="H37" s="4"/>
    </row>
    <row r="38" spans="1:8" x14ac:dyDescent="0.2">
      <c r="A38" s="46"/>
      <c r="B38" s="56"/>
      <c r="C38" s="48"/>
      <c r="D38" s="49"/>
      <c r="E38" s="54"/>
      <c r="F38" s="54"/>
      <c r="G38" s="55"/>
      <c r="H38" s="4"/>
    </row>
    <row r="39" spans="1:8" x14ac:dyDescent="0.2">
      <c r="A39" s="46"/>
      <c r="B39" s="56"/>
      <c r="C39" s="48"/>
      <c r="D39" s="49"/>
      <c r="E39" s="54"/>
      <c r="F39" s="54"/>
      <c r="G39" s="55"/>
      <c r="H39" s="4"/>
    </row>
    <row r="40" spans="1:8" x14ac:dyDescent="0.2">
      <c r="A40" s="46"/>
      <c r="B40" s="56"/>
      <c r="C40" s="48"/>
      <c r="D40" s="49"/>
      <c r="E40" s="54"/>
      <c r="F40" s="54"/>
      <c r="G40" s="55"/>
      <c r="H40" s="4"/>
    </row>
    <row r="41" spans="1:8" x14ac:dyDescent="0.2">
      <c r="A41" s="46"/>
      <c r="B41" s="56"/>
      <c r="C41" s="48"/>
      <c r="D41" s="49"/>
      <c r="E41" s="54"/>
      <c r="F41" s="54"/>
      <c r="G41" s="55"/>
      <c r="H41" s="4"/>
    </row>
    <row r="42" spans="1:8" x14ac:dyDescent="0.2">
      <c r="A42" s="58" t="s">
        <v>945</v>
      </c>
      <c r="B42" s="56">
        <f>SUM(B30:B35)</f>
        <v>11.788524000000002</v>
      </c>
      <c r="C42" s="59">
        <f>SUM(C30:C35)</f>
        <v>728175.40704000019</v>
      </c>
      <c r="D42" s="49">
        <f>SUM(D30:D35)</f>
        <v>0.68339902619986104</v>
      </c>
      <c r="E42" s="60" t="s">
        <v>960</v>
      </c>
      <c r="F42" s="60"/>
      <c r="G42" s="61"/>
      <c r="H42" s="4"/>
    </row>
    <row r="43" spans="1:8" x14ac:dyDescent="0.2">
      <c r="A43" s="58"/>
      <c r="B43" s="56"/>
      <c r="C43" s="59"/>
      <c r="D43" s="49"/>
      <c r="E43" s="60"/>
      <c r="F43" s="60"/>
      <c r="G43" s="61"/>
      <c r="H43" s="4"/>
    </row>
    <row r="44" spans="1:8" x14ac:dyDescent="0.2">
      <c r="A44" s="46"/>
      <c r="B44" s="62"/>
      <c r="C44" s="63" t="s">
        <v>946</v>
      </c>
      <c r="D44" s="54"/>
      <c r="E44" s="64" t="s">
        <v>947</v>
      </c>
      <c r="F44" s="64"/>
      <c r="G44" s="55"/>
      <c r="H44" s="4"/>
    </row>
    <row r="45" spans="1:8" x14ac:dyDescent="0.2">
      <c r="A45" s="46" t="s">
        <v>948</v>
      </c>
      <c r="B45" s="54"/>
      <c r="C45" s="65"/>
      <c r="D45" s="54"/>
      <c r="E45" s="66"/>
      <c r="F45" s="50"/>
      <c r="G45" s="55"/>
      <c r="H45" s="4"/>
    </row>
    <row r="46" spans="1:8" x14ac:dyDescent="0.2">
      <c r="A46" s="67">
        <v>61767360</v>
      </c>
      <c r="B46" s="68"/>
      <c r="C46" s="68" t="s">
        <v>949</v>
      </c>
      <c r="D46" s="68"/>
      <c r="E46" s="68"/>
      <c r="F46" s="54"/>
      <c r="G46" s="55"/>
      <c r="H46" s="4"/>
    </row>
    <row r="47" spans="1:8" x14ac:dyDescent="0.2">
      <c r="A47" s="69"/>
      <c r="B47" s="68" t="s">
        <v>939</v>
      </c>
      <c r="C47" s="70" t="s">
        <v>950</v>
      </c>
      <c r="D47" s="68"/>
      <c r="E47" s="68"/>
      <c r="F47" s="54"/>
      <c r="G47" s="55"/>
      <c r="H47" s="4"/>
    </row>
    <row r="48" spans="1:8" x14ac:dyDescent="0.2">
      <c r="A48" s="69"/>
      <c r="B48" s="68"/>
      <c r="C48" s="70"/>
      <c r="D48" s="68"/>
      <c r="E48" s="68"/>
      <c r="F48" s="54"/>
      <c r="G48" s="55"/>
      <c r="H48" s="4"/>
    </row>
    <row r="49" spans="1:8" x14ac:dyDescent="0.2">
      <c r="A49" s="71"/>
      <c r="B49" s="72"/>
      <c r="C49" s="73"/>
      <c r="D49" s="72"/>
      <c r="E49" s="72"/>
      <c r="F49" s="19"/>
      <c r="G49" s="74"/>
      <c r="H49" s="4"/>
    </row>
    <row r="50" spans="1:8" x14ac:dyDescent="0.2">
      <c r="A50" s="69"/>
      <c r="B50" s="68" t="s">
        <v>940</v>
      </c>
      <c r="C50" s="68" t="s">
        <v>951</v>
      </c>
      <c r="D50" s="68"/>
      <c r="E50" s="68"/>
      <c r="F50" s="54"/>
      <c r="G50" s="55"/>
      <c r="H50" s="4"/>
    </row>
    <row r="51" spans="1:8" x14ac:dyDescent="0.2">
      <c r="A51" s="69"/>
      <c r="B51" s="68" t="s">
        <v>941</v>
      </c>
      <c r="C51" s="75"/>
      <c r="D51" s="68"/>
      <c r="E51" s="68"/>
      <c r="F51" s="54"/>
      <c r="G51" s="55"/>
      <c r="H51" s="4"/>
    </row>
    <row r="52" spans="1:8" x14ac:dyDescent="0.2">
      <c r="A52" s="69"/>
      <c r="B52" s="68" t="s">
        <v>942</v>
      </c>
      <c r="C52" s="68"/>
      <c r="D52" s="76"/>
      <c r="E52" s="68"/>
      <c r="F52" s="48"/>
      <c r="G52" s="55"/>
      <c r="H52" s="4"/>
    </row>
    <row r="53" spans="1:8" x14ac:dyDescent="0.2">
      <c r="A53" s="69"/>
      <c r="B53" s="68" t="s">
        <v>943</v>
      </c>
      <c r="C53" s="68"/>
      <c r="D53" s="68"/>
      <c r="E53" s="68"/>
      <c r="F53" s="54"/>
      <c r="G53" s="55"/>
      <c r="H53" s="4"/>
    </row>
    <row r="54" spans="1:8" x14ac:dyDescent="0.2">
      <c r="A54" s="77"/>
      <c r="B54" s="54" t="s">
        <v>952</v>
      </c>
      <c r="C54" s="54"/>
      <c r="D54" s="64" t="s">
        <v>961</v>
      </c>
      <c r="E54" s="59">
        <f>1065610/17.252</f>
        <v>61767.33132390448</v>
      </c>
      <c r="F54" s="54"/>
      <c r="G54" s="55"/>
      <c r="H54" s="4"/>
    </row>
    <row r="55" spans="1:8" x14ac:dyDescent="0.2">
      <c r="A55" s="77"/>
      <c r="B55" s="54" t="s">
        <v>878</v>
      </c>
      <c r="C55" s="54"/>
      <c r="D55" s="54"/>
      <c r="E55" s="53"/>
      <c r="F55" s="53"/>
      <c r="G55" s="55"/>
      <c r="H55" s="4"/>
    </row>
    <row r="56" spans="1:8" x14ac:dyDescent="0.2">
      <c r="A56" s="77"/>
      <c r="B56" s="54" t="s">
        <v>945</v>
      </c>
      <c r="C56" s="54"/>
      <c r="D56" s="78"/>
      <c r="E56" s="54"/>
      <c r="F56" s="54"/>
      <c r="G56" s="55"/>
      <c r="H56" s="4"/>
    </row>
    <row r="57" spans="1:8" x14ac:dyDescent="0.2">
      <c r="A57" s="77"/>
      <c r="B57" s="54" t="s">
        <v>954</v>
      </c>
      <c r="C57" s="54"/>
      <c r="D57" s="66"/>
      <c r="E57" s="79" t="e">
        <f>#REF!+#REF!+#REF!+#REF!+#REF!+#REF!+#REF!</f>
        <v>#REF!</v>
      </c>
      <c r="F57" s="54"/>
      <c r="G57" s="55"/>
      <c r="H57" s="4"/>
    </row>
    <row r="58" spans="1:8" x14ac:dyDescent="0.2">
      <c r="A58" s="80"/>
      <c r="B58" s="53"/>
      <c r="C58" s="53"/>
      <c r="D58" s="53"/>
      <c r="E58" s="53"/>
      <c r="F58" s="53"/>
      <c r="G58" s="55"/>
      <c r="H58" s="4"/>
    </row>
    <row r="59" spans="1:8" x14ac:dyDescent="0.2">
      <c r="A59" s="81" t="s">
        <v>962</v>
      </c>
      <c r="B59" s="82"/>
      <c r="C59" s="82"/>
      <c r="D59" s="53"/>
      <c r="E59" s="53"/>
      <c r="F59" s="53"/>
      <c r="G59" s="83">
        <v>1065610</v>
      </c>
      <c r="H59" s="4"/>
    </row>
    <row r="60" spans="1:8" x14ac:dyDescent="0.2">
      <c r="A60" s="81" t="s">
        <v>963</v>
      </c>
      <c r="B60" s="82"/>
      <c r="C60" s="84">
        <v>3955</v>
      </c>
      <c r="D60" s="82" t="s">
        <v>964</v>
      </c>
      <c r="E60" s="53"/>
      <c r="F60" s="53" t="s">
        <v>965</v>
      </c>
      <c r="G60" s="85">
        <v>1068694</v>
      </c>
      <c r="H60" s="4"/>
    </row>
    <row r="61" spans="1:8" x14ac:dyDescent="0.2">
      <c r="A61" s="81"/>
      <c r="B61" s="82"/>
      <c r="C61" s="84"/>
      <c r="D61" s="82"/>
      <c r="E61" s="53"/>
      <c r="F61" s="53"/>
      <c r="G61" s="83">
        <f>G59-G60</f>
        <v>-3084</v>
      </c>
      <c r="H61" s="4"/>
    </row>
    <row r="62" spans="1:8" x14ac:dyDescent="0.2">
      <c r="A62" s="80"/>
      <c r="B62" s="86"/>
      <c r="C62" s="84"/>
      <c r="D62" s="86"/>
      <c r="E62" s="53"/>
      <c r="F62" s="53"/>
      <c r="G62" s="87"/>
      <c r="H62" s="4"/>
    </row>
    <row r="63" spans="1:8" x14ac:dyDescent="0.2">
      <c r="A63" s="81"/>
      <c r="B63" s="82"/>
      <c r="C63" s="84"/>
      <c r="D63" s="82"/>
      <c r="E63" s="53"/>
      <c r="F63" s="53"/>
      <c r="G63" s="83"/>
      <c r="H63" s="4"/>
    </row>
    <row r="64" spans="1:8" x14ac:dyDescent="0.2">
      <c r="A64" s="81"/>
      <c r="B64" s="82"/>
      <c r="C64" s="84"/>
      <c r="D64" s="82"/>
      <c r="E64" s="53"/>
      <c r="F64" s="53"/>
      <c r="G64" s="83"/>
      <c r="H64" s="4"/>
    </row>
    <row r="65" spans="1:8" x14ac:dyDescent="0.2">
      <c r="A65" s="81"/>
      <c r="B65" s="82"/>
      <c r="C65" s="84"/>
      <c r="D65" s="82"/>
      <c r="E65" s="53"/>
      <c r="F65" s="53"/>
      <c r="G65" s="83"/>
      <c r="H65" s="4"/>
    </row>
    <row r="66" spans="1:8" x14ac:dyDescent="0.2">
      <c r="A66" s="81" t="s">
        <v>966</v>
      </c>
      <c r="B66" s="82"/>
      <c r="C66" s="82"/>
      <c r="D66" s="88"/>
      <c r="E66" s="88"/>
      <c r="F66" s="88"/>
      <c r="G66" s="83">
        <f>SUM(G59:G60)</f>
        <v>2134304</v>
      </c>
      <c r="H66" s="4"/>
    </row>
    <row r="67" spans="1:8" ht="13.5" thickBot="1" x14ac:dyDescent="0.25">
      <c r="A67" s="89" t="s">
        <v>967</v>
      </c>
      <c r="B67" s="90"/>
      <c r="C67" s="91"/>
      <c r="D67" s="92">
        <v>1065610</v>
      </c>
      <c r="E67" s="92">
        <v>61767360</v>
      </c>
      <c r="F67" s="93">
        <v>1000</v>
      </c>
      <c r="G67" s="94">
        <f>D67/E67*F67</f>
        <v>17.251991990591794</v>
      </c>
      <c r="H67" s="4"/>
    </row>
    <row r="68" spans="1:8" x14ac:dyDescent="0.2">
      <c r="A68" s="95" t="s">
        <v>968</v>
      </c>
      <c r="B68" s="96" t="s">
        <v>936</v>
      </c>
      <c r="C68" s="97" t="s">
        <v>957</v>
      </c>
      <c r="D68" s="96" t="s">
        <v>937</v>
      </c>
      <c r="E68" s="98">
        <v>17.687000000000001</v>
      </c>
      <c r="F68" s="99" t="s">
        <v>958</v>
      </c>
      <c r="G68" s="100"/>
      <c r="H68" s="4"/>
    </row>
    <row r="69" spans="1:8" ht="13.5" thickBot="1" x14ac:dyDescent="0.25">
      <c r="A69" s="101" t="s">
        <v>939</v>
      </c>
      <c r="B69" s="102">
        <f>0.597*17.687</f>
        <v>10.559139</v>
      </c>
      <c r="C69" s="103">
        <f>(10.559*61533960)/1000</f>
        <v>649737.08363999997</v>
      </c>
      <c r="D69" s="104">
        <f>C69/C76</f>
        <v>0.59699214112059706</v>
      </c>
      <c r="E69" s="105">
        <v>41253</v>
      </c>
      <c r="F69" s="106" t="s">
        <v>969</v>
      </c>
      <c r="G69" s="107"/>
      <c r="H69" s="4"/>
    </row>
    <row r="70" spans="1:8" x14ac:dyDescent="0.2">
      <c r="A70" s="101" t="s">
        <v>940</v>
      </c>
      <c r="B70" s="102">
        <f>0.019*17.687</f>
        <v>0.33605299999999999</v>
      </c>
      <c r="C70" s="103">
        <f>(0.336*61533960)/1000</f>
        <v>20675.410560000004</v>
      </c>
      <c r="D70" s="104">
        <f>C70/C76</f>
        <v>1.8997003448860749E-2</v>
      </c>
      <c r="E70" s="108" t="s">
        <v>970</v>
      </c>
      <c r="F70" s="109"/>
      <c r="G70" s="110"/>
      <c r="H70" s="4"/>
    </row>
    <row r="71" spans="1:8" x14ac:dyDescent="0.2">
      <c r="A71" s="101" t="s">
        <v>941</v>
      </c>
      <c r="B71" s="102">
        <f>0.001*17.687</f>
        <v>1.7687000000000001E-2</v>
      </c>
      <c r="C71" s="103">
        <f>(0.018*61533960)/1000</f>
        <v>1107.6112800000001</v>
      </c>
      <c r="D71" s="104">
        <f>C71/C76</f>
        <v>1.0176966133318259E-3</v>
      </c>
      <c r="E71" s="111" t="s">
        <v>971</v>
      </c>
      <c r="F71" s="112"/>
      <c r="G71" s="110"/>
      <c r="H71" s="3"/>
    </row>
    <row r="72" spans="1:8" x14ac:dyDescent="0.2">
      <c r="A72" s="101" t="s">
        <v>942</v>
      </c>
      <c r="B72" s="102">
        <f>0.045*17.687</f>
        <v>0.79591500000000004</v>
      </c>
      <c r="C72" s="103">
        <f>(0.796*61533960)/1000</f>
        <v>48981.032160000002</v>
      </c>
      <c r="D72" s="104">
        <f>C72/C76</f>
        <v>4.5004805789562959E-2</v>
      </c>
      <c r="E72" s="112"/>
      <c r="F72" s="112"/>
      <c r="G72" s="110"/>
      <c r="H72" s="4"/>
    </row>
    <row r="73" spans="1:8" x14ac:dyDescent="0.2">
      <c r="A73" s="101" t="s">
        <v>943</v>
      </c>
      <c r="B73" s="102">
        <f>0.018*17.687</f>
        <v>0.31836599999999998</v>
      </c>
      <c r="C73" s="103">
        <f>(0.318*61533960)/1000</f>
        <v>19567.799280000003</v>
      </c>
      <c r="D73" s="104">
        <f>C73/C76</f>
        <v>1.7979306835528924E-2</v>
      </c>
      <c r="E73" s="112">
        <f>C69/C76</f>
        <v>0.59699214112059706</v>
      </c>
      <c r="F73" s="112"/>
      <c r="G73" s="110"/>
      <c r="H73" s="4"/>
    </row>
    <row r="74" spans="1:8" x14ac:dyDescent="0.2">
      <c r="A74" s="101" t="s">
        <v>944</v>
      </c>
      <c r="B74" s="104">
        <f>0.009*17.687</f>
        <v>0.15918299999999999</v>
      </c>
      <c r="C74" s="103">
        <f>(0.159*61533960)/1000</f>
        <v>9783.8996400000015</v>
      </c>
      <c r="D74" s="104">
        <f>C74/C76</f>
        <v>8.9896534177644621E-3</v>
      </c>
      <c r="E74" s="113"/>
      <c r="F74" s="113"/>
      <c r="G74" s="110"/>
      <c r="H74" s="4"/>
    </row>
    <row r="75" spans="1:8" x14ac:dyDescent="0.2">
      <c r="A75" s="101" t="s">
        <v>878</v>
      </c>
      <c r="B75" s="114">
        <f>0.311*17.687</f>
        <v>5.5006570000000004</v>
      </c>
      <c r="C75" s="115">
        <f>(5.501*61533960)/1000</f>
        <v>338498.31396000006</v>
      </c>
      <c r="D75" s="114">
        <f>C75/C76</f>
        <v>0.31101939277435414</v>
      </c>
      <c r="E75" s="112"/>
      <c r="F75" s="112"/>
      <c r="G75" s="110"/>
      <c r="H75" s="4">
        <v>631264</v>
      </c>
    </row>
    <row r="76" spans="1:8" x14ac:dyDescent="0.2">
      <c r="A76" s="116" t="s">
        <v>945</v>
      </c>
      <c r="B76" s="104">
        <f>SUM(B69:B75)</f>
        <v>17.687000000000001</v>
      </c>
      <c r="C76" s="117">
        <f>SUM(C69:C75)</f>
        <v>1088351.1505199999</v>
      </c>
      <c r="D76" s="104">
        <f>SUM(D69:D75)</f>
        <v>1.0000000000000002</v>
      </c>
      <c r="E76" s="118">
        <f>D109-C76</f>
        <v>0</v>
      </c>
      <c r="F76" s="119"/>
      <c r="G76" s="110"/>
      <c r="H76" s="4">
        <v>-26869</v>
      </c>
    </row>
    <row r="77" spans="1:8" x14ac:dyDescent="0.2">
      <c r="A77" s="101"/>
      <c r="B77" s="120"/>
      <c r="C77" s="121" t="s">
        <v>946</v>
      </c>
      <c r="D77" s="112"/>
      <c r="E77" s="122" t="s">
        <v>947</v>
      </c>
      <c r="F77" s="122"/>
      <c r="G77" s="123"/>
      <c r="H77" s="4">
        <v>121</v>
      </c>
    </row>
    <row r="78" spans="1:8" x14ac:dyDescent="0.2">
      <c r="A78" s="101" t="s">
        <v>948</v>
      </c>
      <c r="B78" s="112"/>
      <c r="C78" s="124"/>
      <c r="D78" s="112"/>
      <c r="E78" s="125"/>
      <c r="F78" s="105"/>
      <c r="G78" s="123">
        <v>1132569</v>
      </c>
      <c r="H78" s="4">
        <f>SUM(H75:H77)</f>
        <v>604516</v>
      </c>
    </row>
    <row r="79" spans="1:8" x14ac:dyDescent="0.2">
      <c r="A79" s="126">
        <v>61533960</v>
      </c>
      <c r="B79" s="112"/>
      <c r="C79" s="112" t="s">
        <v>949</v>
      </c>
      <c r="D79" s="112"/>
      <c r="E79" s="112"/>
      <c r="F79" s="112"/>
      <c r="G79" s="127">
        <v>1.7999999999999999E-2</v>
      </c>
      <c r="H79" s="4"/>
    </row>
    <row r="80" spans="1:8" x14ac:dyDescent="0.2">
      <c r="A80" s="128"/>
      <c r="B80" s="112" t="s">
        <v>939</v>
      </c>
      <c r="C80" s="104" t="s">
        <v>950</v>
      </c>
      <c r="D80" s="112"/>
      <c r="E80" s="112"/>
      <c r="F80" s="112"/>
      <c r="G80" s="123">
        <v>18</v>
      </c>
      <c r="H80" s="4"/>
    </row>
    <row r="81" spans="1:8" x14ac:dyDescent="0.2">
      <c r="A81" s="129"/>
      <c r="B81" s="130"/>
      <c r="C81" s="131"/>
      <c r="D81" s="130"/>
      <c r="E81" s="130"/>
      <c r="F81" s="130">
        <f>1132569/61631960*1000</f>
        <v>18.376326178820211</v>
      </c>
      <c r="G81" s="123"/>
      <c r="H81" s="4"/>
    </row>
    <row r="82" spans="1:8" x14ac:dyDescent="0.2">
      <c r="A82" s="129"/>
      <c r="B82" s="130"/>
      <c r="C82" s="131"/>
      <c r="D82" s="130"/>
      <c r="E82" s="130"/>
      <c r="F82" s="130"/>
      <c r="G82" s="123"/>
      <c r="H82" s="4"/>
    </row>
    <row r="83" spans="1:8" x14ac:dyDescent="0.2">
      <c r="A83" s="129"/>
      <c r="B83" s="130"/>
      <c r="C83" s="131"/>
      <c r="D83" s="130"/>
      <c r="E83" s="130"/>
      <c r="F83" s="130"/>
      <c r="G83" s="123"/>
      <c r="H83" s="4"/>
    </row>
    <row r="84" spans="1:8" x14ac:dyDescent="0.2">
      <c r="A84" s="128"/>
      <c r="B84" s="112" t="s">
        <v>940</v>
      </c>
      <c r="C84" s="112" t="s">
        <v>951</v>
      </c>
      <c r="D84" s="112"/>
      <c r="E84" s="112"/>
      <c r="F84" s="112"/>
      <c r="G84" s="123"/>
      <c r="H84" s="4"/>
    </row>
    <row r="85" spans="1:8" x14ac:dyDescent="0.2">
      <c r="A85" s="128"/>
      <c r="B85" s="112" t="s">
        <v>941</v>
      </c>
      <c r="C85" s="132"/>
      <c r="D85" s="112"/>
      <c r="E85" s="112"/>
      <c r="F85" s="112"/>
      <c r="G85" s="123">
        <v>1132569</v>
      </c>
      <c r="H85" s="4"/>
    </row>
    <row r="86" spans="1:8" x14ac:dyDescent="0.2">
      <c r="A86" s="128"/>
      <c r="B86" s="112"/>
      <c r="C86" s="132"/>
      <c r="D86" s="112"/>
      <c r="E86" s="112"/>
      <c r="F86" s="112"/>
      <c r="G86" s="123"/>
      <c r="H86" s="4"/>
    </row>
    <row r="87" spans="1:8" x14ac:dyDescent="0.2">
      <c r="A87" s="128"/>
      <c r="B87" s="112" t="s">
        <v>942</v>
      </c>
      <c r="C87" s="112"/>
      <c r="D87" s="103"/>
      <c r="E87" s="112"/>
      <c r="F87" s="103"/>
      <c r="G87" s="133">
        <f>-C76</f>
        <v>-1088351.1505199999</v>
      </c>
      <c r="H87" s="4"/>
    </row>
    <row r="88" spans="1:8" x14ac:dyDescent="0.2">
      <c r="A88" s="128"/>
      <c r="B88" s="112" t="s">
        <v>943</v>
      </c>
      <c r="C88" s="112"/>
      <c r="D88" s="112"/>
      <c r="E88" s="112"/>
      <c r="F88" s="112"/>
      <c r="G88" s="123">
        <f>SUM(G85:G87)</f>
        <v>44217.849480000092</v>
      </c>
      <c r="H88" s="4"/>
    </row>
    <row r="89" spans="1:8" x14ac:dyDescent="0.2">
      <c r="A89" s="128"/>
      <c r="B89" s="112" t="s">
        <v>952</v>
      </c>
      <c r="C89" s="112"/>
      <c r="D89" s="134" t="s">
        <v>961</v>
      </c>
      <c r="E89" s="135">
        <f>A79/1000</f>
        <v>61533.96</v>
      </c>
      <c r="F89" s="112"/>
      <c r="G89" s="123"/>
      <c r="H89" s="4"/>
    </row>
    <row r="90" spans="1:8" x14ac:dyDescent="0.2">
      <c r="A90" s="128"/>
      <c r="B90" s="112" t="s">
        <v>878</v>
      </c>
      <c r="C90" s="112"/>
      <c r="D90" s="112"/>
      <c r="E90" s="136"/>
      <c r="F90" s="136"/>
      <c r="G90" s="123"/>
      <c r="H90" s="4"/>
    </row>
    <row r="91" spans="1:8" x14ac:dyDescent="0.2">
      <c r="A91" s="128"/>
      <c r="B91" s="112" t="s">
        <v>945</v>
      </c>
      <c r="C91" s="112"/>
      <c r="D91" s="137"/>
      <c r="E91" s="112"/>
      <c r="F91" s="112"/>
      <c r="G91" s="123"/>
      <c r="H91" s="4"/>
    </row>
    <row r="92" spans="1:8" x14ac:dyDescent="0.2">
      <c r="A92" s="128"/>
      <c r="B92" s="112" t="s">
        <v>954</v>
      </c>
      <c r="C92" s="112"/>
      <c r="D92" s="136"/>
      <c r="E92" s="136"/>
      <c r="F92" s="138"/>
      <c r="G92" s="138"/>
      <c r="H92" s="4"/>
    </row>
    <row r="93" spans="1:8" x14ac:dyDescent="0.2">
      <c r="A93" s="139" t="s">
        <v>962</v>
      </c>
      <c r="B93" s="140"/>
      <c r="C93" s="140"/>
      <c r="D93" s="141" t="s">
        <v>972</v>
      </c>
      <c r="E93" s="136"/>
      <c r="F93" s="136"/>
      <c r="G93" s="109">
        <v>1068694</v>
      </c>
      <c r="H93" s="4"/>
    </row>
    <row r="94" spans="1:8" x14ac:dyDescent="0.2">
      <c r="A94" s="139" t="s">
        <v>973</v>
      </c>
      <c r="B94" s="140"/>
      <c r="C94" s="142"/>
      <c r="D94" s="141" t="s">
        <v>974</v>
      </c>
      <c r="E94" s="136"/>
      <c r="F94" s="136"/>
      <c r="G94" s="143">
        <v>3955</v>
      </c>
      <c r="H94" s="4"/>
    </row>
    <row r="95" spans="1:8" ht="13.5" thickBot="1" x14ac:dyDescent="0.25">
      <c r="A95" s="136"/>
      <c r="B95" s="136"/>
      <c r="C95" s="136"/>
      <c r="D95" s="140" t="s">
        <v>964</v>
      </c>
      <c r="E95" s="136"/>
      <c r="F95" s="136"/>
      <c r="G95" s="109">
        <f>SUM(G93:G94)</f>
        <v>1072649</v>
      </c>
      <c r="H95" s="4"/>
    </row>
    <row r="96" spans="1:8" ht="13.5" thickBot="1" x14ac:dyDescent="0.25">
      <c r="A96" s="144"/>
      <c r="B96" s="145" t="s">
        <v>975</v>
      </c>
      <c r="C96" s="146"/>
      <c r="D96" s="147"/>
      <c r="E96" s="136"/>
      <c r="F96" s="136"/>
      <c r="G96" s="109"/>
      <c r="H96" s="4"/>
    </row>
    <row r="97" spans="1:8" x14ac:dyDescent="0.2">
      <c r="A97" s="148" t="s">
        <v>976</v>
      </c>
      <c r="B97" s="149">
        <v>1072649</v>
      </c>
      <c r="C97" s="140" t="s">
        <v>977</v>
      </c>
      <c r="D97" s="140"/>
      <c r="E97" s="136"/>
      <c r="F97" s="136"/>
      <c r="G97" s="109"/>
      <c r="H97" s="4"/>
    </row>
    <row r="98" spans="1:8" x14ac:dyDescent="0.2">
      <c r="A98" s="148"/>
      <c r="B98" s="149"/>
      <c r="C98" s="140"/>
      <c r="D98" s="140"/>
      <c r="E98" s="136"/>
      <c r="F98" s="136"/>
      <c r="G98" s="109"/>
      <c r="H98" s="4"/>
    </row>
    <row r="99" spans="1:8" x14ac:dyDescent="0.2">
      <c r="A99" s="148" t="s">
        <v>978</v>
      </c>
      <c r="B99" s="150">
        <v>1.7365999999999999E-2</v>
      </c>
      <c r="C99" s="140" t="s">
        <v>979</v>
      </c>
      <c r="D99" s="140"/>
      <c r="E99" s="136"/>
      <c r="F99" s="136"/>
      <c r="G99" s="109"/>
      <c r="H99" s="4"/>
    </row>
    <row r="100" spans="1:8" x14ac:dyDescent="0.2">
      <c r="A100" s="148" t="s">
        <v>980</v>
      </c>
      <c r="B100" s="149">
        <v>133560</v>
      </c>
      <c r="C100" s="140" t="s">
        <v>981</v>
      </c>
      <c r="D100" s="140"/>
      <c r="E100" s="136"/>
      <c r="F100" s="136"/>
      <c r="G100" s="109"/>
      <c r="H100" s="4"/>
    </row>
    <row r="101" spans="1:8" x14ac:dyDescent="0.2">
      <c r="A101" s="148" t="s">
        <v>982</v>
      </c>
      <c r="B101" s="149">
        <f>133560*0.017366</f>
        <v>2319.4029599999999</v>
      </c>
      <c r="C101" s="140" t="s">
        <v>983</v>
      </c>
      <c r="D101" s="140"/>
      <c r="E101" s="136"/>
      <c r="F101" s="136"/>
      <c r="G101" s="109"/>
      <c r="H101" s="4"/>
    </row>
    <row r="102" spans="1:8" x14ac:dyDescent="0.2">
      <c r="A102" s="148" t="s">
        <v>984</v>
      </c>
      <c r="B102" s="149">
        <f>1072649+2319</f>
        <v>1074968</v>
      </c>
      <c r="C102" s="140" t="s">
        <v>985</v>
      </c>
      <c r="D102" s="140"/>
      <c r="E102" s="136"/>
      <c r="F102" s="136"/>
      <c r="G102" s="109"/>
      <c r="H102" s="4"/>
    </row>
    <row r="103" spans="1:8" x14ac:dyDescent="0.2">
      <c r="A103" s="148" t="s">
        <v>986</v>
      </c>
      <c r="B103" s="149">
        <f>B102+H103</f>
        <v>1134091.24</v>
      </c>
      <c r="C103" s="140" t="s">
        <v>987</v>
      </c>
      <c r="D103" s="140"/>
      <c r="E103" s="136"/>
      <c r="F103" s="136"/>
      <c r="G103" s="109"/>
      <c r="H103" s="4">
        <f>1074968*0.055</f>
        <v>59123.24</v>
      </c>
    </row>
    <row r="104" spans="1:8" x14ac:dyDescent="0.2">
      <c r="A104" s="148" t="s">
        <v>988</v>
      </c>
      <c r="B104" s="149">
        <f>1134092-1523</f>
        <v>1132569</v>
      </c>
      <c r="C104" s="140" t="s">
        <v>989</v>
      </c>
      <c r="D104" s="140"/>
      <c r="E104" s="136"/>
      <c r="F104" s="136"/>
      <c r="G104" s="109"/>
      <c r="H104" s="4"/>
    </row>
    <row r="105" spans="1:8" x14ac:dyDescent="0.2">
      <c r="A105" s="148" t="s">
        <v>990</v>
      </c>
      <c r="B105" s="149">
        <v>1132569</v>
      </c>
      <c r="C105" s="140" t="s">
        <v>991</v>
      </c>
      <c r="D105" s="140"/>
      <c r="E105" s="136"/>
      <c r="F105" s="136"/>
      <c r="G105" s="109"/>
      <c r="H105" s="4"/>
    </row>
    <row r="106" spans="1:8" x14ac:dyDescent="0.2">
      <c r="A106" s="148"/>
      <c r="B106" s="151">
        <f>B105/A79</f>
        <v>1.8405592619100086E-2</v>
      </c>
      <c r="C106" s="140" t="s">
        <v>992</v>
      </c>
      <c r="D106" s="140"/>
      <c r="E106" s="136"/>
      <c r="F106" s="136"/>
      <c r="G106" s="109"/>
      <c r="H106" s="4"/>
    </row>
    <row r="107" spans="1:8" x14ac:dyDescent="0.2">
      <c r="A107" s="148"/>
      <c r="B107" s="152">
        <v>17.687000000000001</v>
      </c>
      <c r="C107" s="140" t="s">
        <v>993</v>
      </c>
      <c r="D107" s="140"/>
      <c r="E107" s="136"/>
      <c r="F107" s="136"/>
      <c r="G107" s="110"/>
      <c r="H107" s="4"/>
    </row>
    <row r="108" spans="1:8" ht="13.5" thickBot="1" x14ac:dyDescent="0.25">
      <c r="A108" s="153"/>
      <c r="B108" s="154" t="s">
        <v>994</v>
      </c>
      <c r="C108" s="155"/>
      <c r="D108" s="154"/>
      <c r="E108" s="156"/>
      <c r="F108" s="156"/>
      <c r="G108" s="157"/>
      <c r="H108" s="4"/>
    </row>
    <row r="109" spans="1:8" ht="13.5" thickBot="1" x14ac:dyDescent="0.25">
      <c r="A109" s="158" t="s">
        <v>967</v>
      </c>
      <c r="B109" s="159"/>
      <c r="C109" s="154"/>
      <c r="D109" s="160">
        <f>B107*A79/1000</f>
        <v>1088351.1505199999</v>
      </c>
      <c r="E109" s="161">
        <v>61533930</v>
      </c>
      <c r="F109" s="162">
        <v>1000</v>
      </c>
      <c r="G109" s="157">
        <f>(D109/E109)*F109</f>
        <v>17.687008623047479</v>
      </c>
      <c r="H109" s="4"/>
    </row>
    <row r="110" spans="1:8" x14ac:dyDescent="0.2">
      <c r="A110" s="163" t="s">
        <v>995</v>
      </c>
      <c r="B110" s="164" t="s">
        <v>936</v>
      </c>
      <c r="C110" s="165" t="s">
        <v>996</v>
      </c>
      <c r="D110" s="166" t="s">
        <v>997</v>
      </c>
      <c r="E110" s="167">
        <v>17.687000000000001</v>
      </c>
      <c r="F110" s="168" t="s">
        <v>958</v>
      </c>
      <c r="G110" s="169"/>
      <c r="H110" s="4"/>
    </row>
    <row r="111" spans="1:8" ht="13.5" thickBot="1" x14ac:dyDescent="0.25">
      <c r="A111" s="170" t="s">
        <v>939</v>
      </c>
      <c r="B111" s="171">
        <v>16.555</v>
      </c>
      <c r="C111" s="172">
        <f>16.555*59019860/1000</f>
        <v>977073.78229999996</v>
      </c>
      <c r="D111" s="173">
        <f>C111-37655-315296</f>
        <v>624122.78229999996</v>
      </c>
      <c r="E111" s="174">
        <v>41617</v>
      </c>
      <c r="F111" s="175" t="s">
        <v>998</v>
      </c>
      <c r="G111" s="176"/>
      <c r="H111" s="4"/>
    </row>
    <row r="112" spans="1:8" x14ac:dyDescent="0.2">
      <c r="A112" s="170" t="s">
        <v>940</v>
      </c>
      <c r="B112" s="171">
        <v>0.33600000000000002</v>
      </c>
      <c r="C112" s="172">
        <f>0.336*59019860/1000</f>
        <v>19830.67296</v>
      </c>
      <c r="D112" s="173">
        <v>19710</v>
      </c>
      <c r="E112" s="177" t="s">
        <v>970</v>
      </c>
      <c r="F112" s="178"/>
      <c r="G112" s="179"/>
      <c r="H112" s="4"/>
    </row>
    <row r="113" spans="1:8" x14ac:dyDescent="0.2">
      <c r="A113" s="170" t="s">
        <v>941</v>
      </c>
      <c r="B113" s="171">
        <v>0</v>
      </c>
      <c r="C113" s="172">
        <v>0</v>
      </c>
      <c r="D113" s="180">
        <v>37655</v>
      </c>
      <c r="E113" s="181" t="s">
        <v>971</v>
      </c>
      <c r="F113" s="178"/>
      <c r="G113" s="179"/>
      <c r="H113" s="4"/>
    </row>
    <row r="114" spans="1:8" x14ac:dyDescent="0.2">
      <c r="A114" s="170" t="s">
        <v>942</v>
      </c>
      <c r="B114" s="171">
        <v>0.79600000000000004</v>
      </c>
      <c r="C114" s="172">
        <f>0.796*59019860/1000</f>
        <v>46979.808560000005</v>
      </c>
      <c r="D114" s="173">
        <v>46693</v>
      </c>
      <c r="E114" s="182"/>
      <c r="F114" s="182"/>
      <c r="G114" s="183"/>
      <c r="H114" s="4">
        <f>16</f>
        <v>16</v>
      </c>
    </row>
    <row r="115" spans="1:8" x14ac:dyDescent="0.2">
      <c r="A115" s="170" t="s">
        <v>943</v>
      </c>
      <c r="B115" s="171">
        <v>0</v>
      </c>
      <c r="C115" s="172">
        <v>0</v>
      </c>
      <c r="D115" s="173">
        <v>0</v>
      </c>
      <c r="E115" s="182"/>
      <c r="F115" s="182"/>
      <c r="G115" s="183"/>
      <c r="H115" s="4"/>
    </row>
    <row r="116" spans="1:8" x14ac:dyDescent="0.2">
      <c r="A116" s="184" t="s">
        <v>944</v>
      </c>
      <c r="B116" s="185">
        <v>0</v>
      </c>
      <c r="C116" s="172">
        <v>0</v>
      </c>
      <c r="D116" s="173">
        <v>0</v>
      </c>
      <c r="E116" s="186"/>
      <c r="F116" s="186"/>
      <c r="G116" s="183"/>
      <c r="H116" s="4"/>
    </row>
    <row r="117" spans="1:8" x14ac:dyDescent="0.2">
      <c r="A117" s="184" t="s">
        <v>878</v>
      </c>
      <c r="B117" s="187">
        <v>0</v>
      </c>
      <c r="C117" s="188">
        <v>0</v>
      </c>
      <c r="D117" s="189">
        <v>315296</v>
      </c>
      <c r="E117" s="182"/>
      <c r="F117" s="182"/>
      <c r="G117" s="183"/>
    </row>
    <row r="118" spans="1:8" x14ac:dyDescent="0.2">
      <c r="A118" s="190" t="s">
        <v>945</v>
      </c>
      <c r="B118" s="185">
        <f>SUM(B111:B117)</f>
        <v>17.686999999999998</v>
      </c>
      <c r="C118" s="191">
        <f>SUM(C111:C117)</f>
        <v>1043884.26382</v>
      </c>
      <c r="D118" s="173">
        <f>SUM(D111:D117)</f>
        <v>1043476.7823</v>
      </c>
      <c r="E118" s="173"/>
      <c r="F118" s="192"/>
      <c r="G118" s="183"/>
    </row>
    <row r="119" spans="1:8" x14ac:dyDescent="0.2">
      <c r="A119" s="170"/>
      <c r="B119" s="193"/>
      <c r="C119" s="194" t="s">
        <v>946</v>
      </c>
      <c r="D119" s="182"/>
      <c r="E119" s="195" t="s">
        <v>947</v>
      </c>
      <c r="F119" s="195"/>
      <c r="G119" s="196"/>
    </row>
    <row r="120" spans="1:8" x14ac:dyDescent="0.2">
      <c r="A120" s="170" t="s">
        <v>948</v>
      </c>
      <c r="B120" s="182"/>
      <c r="C120" s="197"/>
      <c r="D120" s="182"/>
      <c r="E120" s="198"/>
      <c r="F120" s="174"/>
      <c r="G120" s="196"/>
    </row>
    <row r="121" spans="1:8" x14ac:dyDescent="0.2">
      <c r="A121" s="170"/>
      <c r="B121" s="182"/>
      <c r="C121" s="197"/>
      <c r="D121" s="182"/>
      <c r="E121" s="198"/>
      <c r="F121" s="174"/>
      <c r="G121" s="196"/>
    </row>
    <row r="122" spans="1:8" x14ac:dyDescent="0.2">
      <c r="A122" s="199">
        <v>59019860</v>
      </c>
      <c r="B122" s="182"/>
      <c r="C122" s="182" t="s">
        <v>949</v>
      </c>
      <c r="D122" s="182"/>
      <c r="E122" s="182"/>
      <c r="F122" s="172">
        <f>17.687*58659660/1000</f>
        <v>1037513.4064200001</v>
      </c>
      <c r="G122" s="200"/>
      <c r="H122" s="4"/>
    </row>
    <row r="123" spans="1:8" x14ac:dyDescent="0.2">
      <c r="A123" s="201"/>
      <c r="B123" s="182" t="s">
        <v>939</v>
      </c>
      <c r="C123" s="185" t="s">
        <v>950</v>
      </c>
      <c r="D123" s="182"/>
      <c r="E123" s="182"/>
      <c r="F123" s="182"/>
      <c r="G123" s="196"/>
      <c r="H123" s="4"/>
    </row>
    <row r="124" spans="1:8" x14ac:dyDescent="0.2">
      <c r="A124" s="202"/>
      <c r="B124" s="182" t="s">
        <v>940</v>
      </c>
      <c r="C124" s="182" t="s">
        <v>951</v>
      </c>
      <c r="D124" s="203"/>
      <c r="E124" s="203"/>
      <c r="F124" s="203"/>
      <c r="G124" s="196"/>
      <c r="H124" s="4"/>
    </row>
    <row r="125" spans="1:8" x14ac:dyDescent="0.2">
      <c r="A125" s="201"/>
      <c r="B125" s="182" t="s">
        <v>941</v>
      </c>
      <c r="C125" s="204"/>
      <c r="D125" s="182"/>
      <c r="E125" s="182"/>
      <c r="F125" s="182"/>
      <c r="G125" s="196"/>
      <c r="H125" s="4"/>
    </row>
    <row r="126" spans="1:8" x14ac:dyDescent="0.2">
      <c r="A126" s="201"/>
      <c r="B126" s="182" t="s">
        <v>942</v>
      </c>
      <c r="C126" s="205"/>
      <c r="D126" s="182"/>
      <c r="E126" s="182"/>
      <c r="F126" s="182"/>
      <c r="G126" s="196"/>
      <c r="H126" s="4"/>
    </row>
    <row r="127" spans="1:8" x14ac:dyDescent="0.2">
      <c r="A127" s="201"/>
      <c r="B127" s="182" t="s">
        <v>943</v>
      </c>
      <c r="C127" s="182"/>
      <c r="D127" s="172"/>
      <c r="E127" s="182"/>
      <c r="F127" s="172"/>
      <c r="G127" s="206"/>
      <c r="H127" s="4"/>
    </row>
    <row r="128" spans="1:8" x14ac:dyDescent="0.2">
      <c r="A128" s="201"/>
      <c r="B128" s="182" t="s">
        <v>952</v>
      </c>
      <c r="C128" s="182"/>
      <c r="D128" s="182"/>
      <c r="E128" s="182"/>
      <c r="F128" s="182"/>
      <c r="G128" s="196">
        <f>SUM(G126:G127)</f>
        <v>0</v>
      </c>
      <c r="H128" s="4"/>
    </row>
    <row r="129" spans="1:10" x14ac:dyDescent="0.2">
      <c r="A129" s="201"/>
      <c r="B129" s="182" t="s">
        <v>878</v>
      </c>
      <c r="C129" s="182"/>
      <c r="D129" s="207" t="s">
        <v>961</v>
      </c>
      <c r="E129" s="208">
        <f>A122/1000</f>
        <v>59019.86</v>
      </c>
      <c r="F129" s="182"/>
      <c r="G129" s="196"/>
      <c r="H129" s="4"/>
    </row>
    <row r="130" spans="1:10" x14ac:dyDescent="0.2">
      <c r="A130" s="201"/>
      <c r="B130" s="182" t="s">
        <v>945</v>
      </c>
      <c r="C130" s="182"/>
      <c r="D130" s="182"/>
      <c r="E130" s="204"/>
      <c r="F130" s="204"/>
      <c r="G130" s="196"/>
      <c r="H130" s="4"/>
    </row>
    <row r="131" spans="1:10" ht="13.5" thickBot="1" x14ac:dyDescent="0.25">
      <c r="A131" s="201"/>
      <c r="B131" s="182" t="s">
        <v>954</v>
      </c>
      <c r="C131" s="182"/>
      <c r="D131" s="209"/>
      <c r="E131" s="182"/>
      <c r="F131" s="182"/>
      <c r="G131" s="196"/>
      <c r="H131" s="4"/>
    </row>
    <row r="132" spans="1:10" ht="13.5" thickBot="1" x14ac:dyDescent="0.25">
      <c r="A132" s="201"/>
      <c r="B132" s="210" t="s">
        <v>999</v>
      </c>
      <c r="C132" s="211"/>
      <c r="D132" s="212"/>
      <c r="E132" s="204"/>
      <c r="F132" s="213"/>
      <c r="G132" s="183"/>
      <c r="H132" s="4"/>
    </row>
    <row r="133" spans="1:10" x14ac:dyDescent="0.2">
      <c r="A133" s="214" t="s">
        <v>962</v>
      </c>
      <c r="B133" s="215"/>
      <c r="C133" s="215"/>
      <c r="D133" s="216" t="s">
        <v>1000</v>
      </c>
      <c r="E133" s="204"/>
      <c r="F133" s="204"/>
      <c r="G133" s="217">
        <v>1146108</v>
      </c>
      <c r="H133" s="4"/>
    </row>
    <row r="134" spans="1:10" x14ac:dyDescent="0.2">
      <c r="A134" s="214" t="s">
        <v>973</v>
      </c>
      <c r="B134" s="215"/>
      <c r="C134" s="218"/>
      <c r="D134" s="216" t="s">
        <v>1001</v>
      </c>
      <c r="E134" s="204"/>
      <c r="F134" s="204"/>
      <c r="G134" s="219">
        <v>0</v>
      </c>
      <c r="H134" s="4"/>
    </row>
    <row r="135" spans="1:10" x14ac:dyDescent="0.2">
      <c r="A135" s="220"/>
      <c r="B135" s="204"/>
      <c r="C135" s="204"/>
      <c r="D135" s="215" t="s">
        <v>964</v>
      </c>
      <c r="E135" s="204"/>
      <c r="F135" s="204"/>
      <c r="G135" s="217">
        <f>SUM(G133:G134)</f>
        <v>1146108</v>
      </c>
      <c r="H135" s="4"/>
    </row>
    <row r="136" spans="1:10" x14ac:dyDescent="0.2">
      <c r="A136" s="221"/>
      <c r="B136" s="215"/>
      <c r="C136" s="218"/>
      <c r="D136" s="222" t="s">
        <v>1002</v>
      </c>
      <c r="E136" s="204"/>
      <c r="F136" s="223"/>
      <c r="G136" s="224">
        <f>0.017687*58659660</f>
        <v>1037513.4064200001</v>
      </c>
      <c r="H136" s="4"/>
    </row>
    <row r="137" spans="1:10" x14ac:dyDescent="0.2">
      <c r="A137" s="220" t="s">
        <v>976</v>
      </c>
      <c r="B137" s="225">
        <v>1085997</v>
      </c>
      <c r="C137" s="215" t="s">
        <v>1003</v>
      </c>
      <c r="D137" s="215" t="s">
        <v>1004</v>
      </c>
      <c r="E137" s="204"/>
      <c r="F137" s="226">
        <f>B146-B147</f>
        <v>1.8512617045843101</v>
      </c>
      <c r="G137" s="217">
        <f>G135-G136</f>
        <v>108594.59357999987</v>
      </c>
      <c r="H137" s="227" t="s">
        <v>1005</v>
      </c>
    </row>
    <row r="138" spans="1:10" x14ac:dyDescent="0.2">
      <c r="A138" s="220" t="s">
        <v>978</v>
      </c>
      <c r="B138" s="228">
        <f>B137/61533930</f>
        <v>1.7648750859891444E-2</v>
      </c>
      <c r="C138" s="215" t="s">
        <v>1006</v>
      </c>
      <c r="D138" s="215"/>
      <c r="E138" s="204"/>
      <c r="F138" s="204"/>
      <c r="G138" s="229"/>
      <c r="H138" s="227" t="s">
        <v>1007</v>
      </c>
    </row>
    <row r="139" spans="1:10" x14ac:dyDescent="0.2">
      <c r="A139" s="220" t="s">
        <v>980</v>
      </c>
      <c r="B139" s="225">
        <v>20460</v>
      </c>
      <c r="C139" s="215" t="s">
        <v>981</v>
      </c>
      <c r="D139" s="215"/>
      <c r="E139" s="204"/>
      <c r="F139" s="204"/>
      <c r="G139" s="229"/>
      <c r="H139" s="4"/>
      <c r="I139" s="5" t="s">
        <v>1008</v>
      </c>
    </row>
    <row r="140" spans="1:10" x14ac:dyDescent="0.2">
      <c r="A140" s="220" t="s">
        <v>982</v>
      </c>
      <c r="B140" s="225">
        <f>B139*B138</f>
        <v>361.09344259337894</v>
      </c>
      <c r="C140" s="215" t="s">
        <v>1009</v>
      </c>
      <c r="D140" s="215"/>
      <c r="E140" s="204"/>
      <c r="F140" s="204"/>
      <c r="G140" s="229"/>
      <c r="H140" s="230">
        <f>C118-C112-C114</f>
        <v>977073.78229999996</v>
      </c>
      <c r="I140" s="231">
        <f>B111+B113+B115+B116+B117</f>
        <v>16.555</v>
      </c>
      <c r="J140" s="5" t="s">
        <v>939</v>
      </c>
    </row>
    <row r="141" spans="1:10" x14ac:dyDescent="0.2">
      <c r="A141" s="220" t="s">
        <v>984</v>
      </c>
      <c r="B141" s="225">
        <f>B137+B140</f>
        <v>1086358.0934425935</v>
      </c>
      <c r="C141" s="215" t="s">
        <v>985</v>
      </c>
      <c r="D141" s="215"/>
      <c r="E141" s="204"/>
      <c r="F141" s="204"/>
      <c r="G141" s="229"/>
      <c r="H141" s="230">
        <v>46693</v>
      </c>
      <c r="I141" s="231">
        <f>B114</f>
        <v>0.79600000000000004</v>
      </c>
      <c r="J141" s="5" t="s">
        <v>942</v>
      </c>
    </row>
    <row r="142" spans="1:10" x14ac:dyDescent="0.2">
      <c r="A142" s="220" t="s">
        <v>986</v>
      </c>
      <c r="B142" s="225">
        <f>B141*1.055</f>
        <v>1146107.7885819362</v>
      </c>
      <c r="C142" s="215" t="s">
        <v>987</v>
      </c>
      <c r="D142" s="215"/>
      <c r="E142" s="204"/>
      <c r="F142" s="204"/>
      <c r="G142" s="229"/>
      <c r="H142" s="232">
        <v>19710</v>
      </c>
      <c r="I142" s="233">
        <f>B112</f>
        <v>0.33600000000000002</v>
      </c>
      <c r="J142" s="5" t="s">
        <v>940</v>
      </c>
    </row>
    <row r="143" spans="1:10" x14ac:dyDescent="0.2">
      <c r="A143" s="220" t="s">
        <v>988</v>
      </c>
      <c r="B143" s="225">
        <f>B142-0</f>
        <v>1146107.7885819362</v>
      </c>
      <c r="C143" s="215" t="s">
        <v>989</v>
      </c>
      <c r="D143" s="215"/>
      <c r="E143" s="204"/>
      <c r="F143" s="204"/>
      <c r="G143" s="229"/>
      <c r="H143" s="230">
        <f>SUM(H140:H142)</f>
        <v>1043476.7823</v>
      </c>
      <c r="I143" s="231">
        <f>SUM(I140:I142)</f>
        <v>17.686999999999998</v>
      </c>
    </row>
    <row r="144" spans="1:10" x14ac:dyDescent="0.2">
      <c r="A144" s="220" t="s">
        <v>990</v>
      </c>
      <c r="B144" s="225">
        <f>B143-0</f>
        <v>1146107.7885819362</v>
      </c>
      <c r="C144" s="215" t="s">
        <v>1010</v>
      </c>
      <c r="D144" s="215"/>
      <c r="E144" s="204"/>
      <c r="F144" s="204"/>
      <c r="G144" s="229"/>
      <c r="H144" s="4"/>
    </row>
    <row r="145" spans="1:8" x14ac:dyDescent="0.2">
      <c r="A145" s="220" t="s">
        <v>1011</v>
      </c>
      <c r="B145" s="228">
        <f>B144/58659660</f>
        <v>1.9538261704584312E-2</v>
      </c>
      <c r="C145" s="215" t="s">
        <v>992</v>
      </c>
      <c r="D145" s="215"/>
      <c r="E145" s="204"/>
      <c r="F145" s="204"/>
      <c r="G145" s="229"/>
      <c r="H145" s="4"/>
    </row>
    <row r="146" spans="1:8" x14ac:dyDescent="0.2">
      <c r="A146" s="220" t="s">
        <v>1011</v>
      </c>
      <c r="B146" s="234">
        <f>B145*1000</f>
        <v>19.538261704584311</v>
      </c>
      <c r="C146" s="215" t="s">
        <v>993</v>
      </c>
      <c r="D146" s="215"/>
      <c r="E146" s="204"/>
      <c r="F146" s="204"/>
      <c r="G146" s="183"/>
      <c r="H146" s="4"/>
    </row>
    <row r="147" spans="1:8" x14ac:dyDescent="0.2">
      <c r="A147" s="220" t="s">
        <v>1012</v>
      </c>
      <c r="B147" s="235">
        <v>17.687000000000001</v>
      </c>
      <c r="C147" s="204"/>
      <c r="D147" s="204"/>
      <c r="E147" s="204"/>
      <c r="F147" s="213"/>
      <c r="G147" s="183"/>
      <c r="H147" s="4"/>
    </row>
    <row r="148" spans="1:8" ht="13.5" thickBot="1" x14ac:dyDescent="0.25">
      <c r="A148" s="236"/>
      <c r="B148" s="237" t="s">
        <v>994</v>
      </c>
      <c r="C148" s="238"/>
      <c r="D148" s="237"/>
      <c r="E148" s="239"/>
      <c r="F148" s="239"/>
      <c r="G148" s="240"/>
      <c r="H148" s="4"/>
    </row>
    <row r="149" spans="1:8" ht="13.5" thickBot="1" x14ac:dyDescent="0.25">
      <c r="A149" s="241" t="s">
        <v>967</v>
      </c>
      <c r="B149" s="242"/>
      <c r="C149" s="237"/>
      <c r="D149" s="243"/>
      <c r="E149" s="244"/>
      <c r="F149" s="245"/>
      <c r="G149" s="240"/>
      <c r="H149" s="4"/>
    </row>
    <row r="150" spans="1:8" x14ac:dyDescent="0.2">
      <c r="A150" s="246"/>
      <c r="B150" s="247"/>
      <c r="C150" s="248"/>
      <c r="D150" s="249"/>
      <c r="E150" s="250"/>
      <c r="F150" s="251"/>
      <c r="G150" s="251"/>
      <c r="H150" s="4"/>
    </row>
    <row r="151" spans="1:8" x14ac:dyDescent="0.2">
      <c r="A151" s="246"/>
      <c r="B151" s="247"/>
      <c r="C151" s="248"/>
      <c r="D151" s="249"/>
      <c r="E151" s="250"/>
      <c r="F151" s="251"/>
      <c r="G151" s="251"/>
      <c r="H151" s="4"/>
    </row>
    <row r="152" spans="1:8" x14ac:dyDescent="0.2">
      <c r="A152" s="246" t="s">
        <v>1013</v>
      </c>
      <c r="B152" s="247"/>
      <c r="C152" s="248"/>
      <c r="D152" s="249"/>
      <c r="E152" s="250"/>
      <c r="F152" s="251"/>
      <c r="G152" s="251"/>
      <c r="H152" s="4"/>
    </row>
    <row r="153" spans="1:8" x14ac:dyDescent="0.2">
      <c r="A153" s="252" t="s">
        <v>1014</v>
      </c>
      <c r="B153" s="231"/>
    </row>
    <row r="154" spans="1:8" x14ac:dyDescent="0.2">
      <c r="A154" s="5">
        <v>2011</v>
      </c>
      <c r="B154" s="231">
        <v>0.11</v>
      </c>
    </row>
    <row r="155" spans="1:8" x14ac:dyDescent="0.2">
      <c r="A155" s="5">
        <v>2012</v>
      </c>
      <c r="B155" s="231">
        <v>0.121</v>
      </c>
    </row>
    <row r="156" spans="1:8" x14ac:dyDescent="0.2">
      <c r="A156" s="5">
        <v>2013</v>
      </c>
      <c r="B156" s="231">
        <v>0.33600000000000002</v>
      </c>
    </row>
    <row r="157" spans="1:8" x14ac:dyDescent="0.2">
      <c r="A157" s="5">
        <v>2014</v>
      </c>
      <c r="B157" s="231">
        <v>0.33600000000000002</v>
      </c>
    </row>
    <row r="158" spans="1:8" x14ac:dyDescent="0.2">
      <c r="A158" s="5" t="s">
        <v>1015</v>
      </c>
      <c r="B158" s="231"/>
    </row>
    <row r="159" spans="1:8" x14ac:dyDescent="0.2">
      <c r="A159" s="5" t="s">
        <v>1016</v>
      </c>
      <c r="B159" s="231"/>
    </row>
    <row r="160" spans="1:8" x14ac:dyDescent="0.2">
      <c r="A160" s="5" t="s">
        <v>1017</v>
      </c>
      <c r="B160" s="231"/>
    </row>
    <row r="161" spans="1:7" ht="13.5" thickBot="1" x14ac:dyDescent="0.25">
      <c r="B161" s="231"/>
    </row>
    <row r="162" spans="1:7" x14ac:dyDescent="0.2">
      <c r="A162" s="253" t="s">
        <v>1018</v>
      </c>
      <c r="B162" s="254" t="s">
        <v>936</v>
      </c>
      <c r="C162" s="255" t="s">
        <v>996</v>
      </c>
      <c r="D162" s="256" t="s">
        <v>997</v>
      </c>
      <c r="E162" s="257">
        <v>17.687000000000001</v>
      </c>
      <c r="F162" s="258" t="s">
        <v>958</v>
      </c>
      <c r="G162" s="259"/>
    </row>
    <row r="163" spans="1:7" ht="13.5" thickBot="1" x14ac:dyDescent="0.25">
      <c r="A163" s="260" t="s">
        <v>939</v>
      </c>
      <c r="B163" s="261">
        <f>16.276+0.195</f>
        <v>16.471</v>
      </c>
      <c r="C163" s="262">
        <f>B163*B174/1000</f>
        <v>1041562.9560700001</v>
      </c>
      <c r="D163" s="263"/>
      <c r="E163" s="264">
        <v>41978</v>
      </c>
      <c r="F163" s="265" t="s">
        <v>1019</v>
      </c>
      <c r="G163" s="266"/>
    </row>
    <row r="164" spans="1:7" x14ac:dyDescent="0.2">
      <c r="A164" s="260" t="s">
        <v>940</v>
      </c>
      <c r="B164" s="261">
        <v>0.33600000000000002</v>
      </c>
      <c r="C164" s="262">
        <f>B164*B174/1000</f>
        <v>21247.35312</v>
      </c>
      <c r="D164" s="263"/>
      <c r="E164" s="267" t="s">
        <v>970</v>
      </c>
      <c r="F164" s="268"/>
      <c r="G164" s="269"/>
    </row>
    <row r="165" spans="1:7" x14ac:dyDescent="0.2">
      <c r="A165" s="260" t="s">
        <v>941</v>
      </c>
      <c r="B165" s="261">
        <v>0</v>
      </c>
      <c r="C165" s="262"/>
      <c r="D165" s="270"/>
      <c r="E165" s="271" t="s">
        <v>971</v>
      </c>
      <c r="F165" s="268"/>
      <c r="G165" s="269"/>
    </row>
    <row r="166" spans="1:7" x14ac:dyDescent="0.2">
      <c r="A166" s="260" t="s">
        <v>942</v>
      </c>
      <c r="B166" s="261">
        <v>0.88</v>
      </c>
      <c r="C166" s="262">
        <f>B166*B174/1000</f>
        <v>55647.829600000005</v>
      </c>
      <c r="D166" s="263"/>
      <c r="E166" s="272"/>
      <c r="F166" s="272"/>
      <c r="G166" s="273"/>
    </row>
    <row r="167" spans="1:7" x14ac:dyDescent="0.2">
      <c r="A167" s="260" t="s">
        <v>943</v>
      </c>
      <c r="B167" s="261">
        <v>0</v>
      </c>
      <c r="C167" s="262">
        <v>0</v>
      </c>
      <c r="D167" s="270"/>
      <c r="E167" s="272"/>
      <c r="F167" s="272"/>
      <c r="G167" s="273"/>
    </row>
    <row r="168" spans="1:7" x14ac:dyDescent="0.2">
      <c r="A168" s="274" t="s">
        <v>944</v>
      </c>
      <c r="B168" s="275">
        <v>0</v>
      </c>
      <c r="C168" s="262">
        <v>0</v>
      </c>
      <c r="D168" s="270"/>
      <c r="E168" s="276"/>
      <c r="F168" s="276"/>
      <c r="G168" s="273"/>
    </row>
    <row r="169" spans="1:7" x14ac:dyDescent="0.2">
      <c r="A169" s="274" t="s">
        <v>878</v>
      </c>
      <c r="B169" s="277">
        <v>0</v>
      </c>
      <c r="C169" s="278">
        <v>0</v>
      </c>
      <c r="D169" s="279"/>
      <c r="E169" s="272"/>
      <c r="F169" s="272"/>
      <c r="G169" s="273"/>
    </row>
    <row r="170" spans="1:7" x14ac:dyDescent="0.2">
      <c r="A170" s="280" t="s">
        <v>945</v>
      </c>
      <c r="B170" s="275">
        <f>SUM(B163:B169)</f>
        <v>17.686999999999998</v>
      </c>
      <c r="C170" s="281">
        <f>SUM(C163:C169)</f>
        <v>1118458.1387900002</v>
      </c>
      <c r="D170" s="270">
        <f>SUM(D163:D169)</f>
        <v>0</v>
      </c>
      <c r="E170" s="270"/>
      <c r="F170" s="282"/>
      <c r="G170" s="273"/>
    </row>
    <row r="171" spans="1:7" x14ac:dyDescent="0.2">
      <c r="A171" s="260"/>
      <c r="B171" s="283"/>
      <c r="C171" s="284" t="s">
        <v>946</v>
      </c>
      <c r="D171" s="272"/>
      <c r="E171" s="285" t="s">
        <v>947</v>
      </c>
      <c r="F171" s="285"/>
      <c r="G171" s="286"/>
    </row>
    <row r="172" spans="1:7" x14ac:dyDescent="0.2">
      <c r="A172" s="260" t="s">
        <v>948</v>
      </c>
      <c r="B172" s="272"/>
      <c r="C172" s="287"/>
      <c r="D172" s="272"/>
      <c r="E172" s="288"/>
      <c r="F172" s="264"/>
      <c r="G172" s="286"/>
    </row>
    <row r="173" spans="1:7" x14ac:dyDescent="0.2">
      <c r="A173" s="260"/>
      <c r="B173" s="272"/>
      <c r="C173" s="287"/>
      <c r="D173" s="272"/>
      <c r="E173" s="288"/>
      <c r="F173" s="264" t="s">
        <v>1020</v>
      </c>
      <c r="G173" s="286"/>
    </row>
    <row r="174" spans="1:7" x14ac:dyDescent="0.2">
      <c r="A174" s="289"/>
      <c r="B174" s="290">
        <v>63236170</v>
      </c>
      <c r="C174" s="272" t="s">
        <v>949</v>
      </c>
      <c r="D174" s="272"/>
      <c r="E174" s="272"/>
      <c r="F174" s="291">
        <f>17.687*B174/1000</f>
        <v>1118458.13879</v>
      </c>
      <c r="G174" s="292"/>
    </row>
    <row r="175" spans="1:7" x14ac:dyDescent="0.2">
      <c r="A175" s="293"/>
      <c r="B175" s="272" t="s">
        <v>939</v>
      </c>
      <c r="C175" s="275" t="s">
        <v>950</v>
      </c>
      <c r="D175" s="272"/>
      <c r="E175" s="272"/>
      <c r="F175" s="272"/>
      <c r="G175" s="286"/>
    </row>
    <row r="176" spans="1:7" x14ac:dyDescent="0.2">
      <c r="A176" s="294"/>
      <c r="B176" s="272" t="s">
        <v>940</v>
      </c>
      <c r="C176" s="272" t="s">
        <v>951</v>
      </c>
      <c r="D176" s="295"/>
      <c r="E176" s="295"/>
      <c r="F176" s="295"/>
      <c r="G176" s="286"/>
    </row>
    <row r="177" spans="1:7" x14ac:dyDescent="0.2">
      <c r="A177" s="293"/>
      <c r="B177" s="272" t="s">
        <v>941</v>
      </c>
      <c r="C177" s="296"/>
      <c r="D177" s="272"/>
      <c r="E177" s="272"/>
      <c r="F177" s="272"/>
      <c r="G177" s="286"/>
    </row>
    <row r="178" spans="1:7" x14ac:dyDescent="0.2">
      <c r="A178" s="293"/>
      <c r="B178" s="272" t="s">
        <v>942</v>
      </c>
      <c r="C178" s="297"/>
      <c r="D178" s="272"/>
      <c r="E178" s="272"/>
      <c r="F178" s="272"/>
      <c r="G178" s="286"/>
    </row>
    <row r="179" spans="1:7" x14ac:dyDescent="0.2">
      <c r="A179" s="293"/>
      <c r="B179" s="272" t="s">
        <v>943</v>
      </c>
      <c r="C179" s="272"/>
      <c r="D179" s="262"/>
      <c r="E179" s="272"/>
      <c r="F179" s="262"/>
      <c r="G179" s="298"/>
    </row>
    <row r="180" spans="1:7" x14ac:dyDescent="0.2">
      <c r="A180" s="293"/>
      <c r="B180" s="272" t="s">
        <v>952</v>
      </c>
      <c r="C180" s="272"/>
      <c r="D180" s="272"/>
      <c r="E180" s="272"/>
      <c r="F180" s="272"/>
      <c r="G180" s="286">
        <f>SUM(G178:G179)</f>
        <v>0</v>
      </c>
    </row>
    <row r="181" spans="1:7" x14ac:dyDescent="0.2">
      <c r="A181" s="293"/>
      <c r="B181" s="272" t="s">
        <v>878</v>
      </c>
      <c r="C181" s="272"/>
      <c r="D181" s="299" t="s">
        <v>961</v>
      </c>
      <c r="E181" s="300">
        <f>A174/1000</f>
        <v>0</v>
      </c>
      <c r="F181" s="272"/>
      <c r="G181" s="286"/>
    </row>
    <row r="182" spans="1:7" x14ac:dyDescent="0.2">
      <c r="A182" s="293"/>
      <c r="B182" s="272" t="s">
        <v>945</v>
      </c>
      <c r="C182" s="272"/>
      <c r="D182" s="272"/>
      <c r="E182" s="296"/>
      <c r="F182" s="296"/>
      <c r="G182" s="286"/>
    </row>
    <row r="183" spans="1:7" ht="13.5" thickBot="1" x14ac:dyDescent="0.25">
      <c r="A183" s="293"/>
      <c r="B183" s="272" t="s">
        <v>954</v>
      </c>
      <c r="C183" s="272"/>
      <c r="D183" s="301"/>
      <c r="E183" s="272"/>
      <c r="F183" s="272"/>
      <c r="G183" s="286"/>
    </row>
    <row r="184" spans="1:7" ht="13.5" thickBot="1" x14ac:dyDescent="0.25">
      <c r="A184" s="293"/>
      <c r="B184" s="302" t="s">
        <v>999</v>
      </c>
      <c r="C184" s="303"/>
      <c r="D184" s="304"/>
      <c r="E184" s="296"/>
      <c r="F184" s="305"/>
      <c r="G184" s="273"/>
    </row>
    <row r="185" spans="1:7" x14ac:dyDescent="0.2">
      <c r="A185" s="306" t="s">
        <v>962</v>
      </c>
      <c r="B185" s="307"/>
      <c r="C185" s="308">
        <v>1146108</v>
      </c>
      <c r="D185" s="309" t="s">
        <v>1021</v>
      </c>
      <c r="E185" s="296"/>
      <c r="F185" s="296"/>
      <c r="G185" s="310">
        <f>C185*1.055</f>
        <v>1209143.94</v>
      </c>
    </row>
    <row r="186" spans="1:7" x14ac:dyDescent="0.2">
      <c r="A186" s="306" t="s">
        <v>973</v>
      </c>
      <c r="B186" s="307"/>
      <c r="C186" s="311"/>
      <c r="D186" s="309" t="s">
        <v>1022</v>
      </c>
      <c r="E186" s="296"/>
      <c r="F186" s="296"/>
      <c r="G186" s="312"/>
    </row>
    <row r="187" spans="1:7" x14ac:dyDescent="0.2">
      <c r="A187" s="313">
        <v>41913</v>
      </c>
      <c r="B187" s="296"/>
      <c r="C187" s="296"/>
      <c r="D187" s="307" t="s">
        <v>964</v>
      </c>
      <c r="E187" s="296"/>
      <c r="F187" s="296"/>
      <c r="G187" s="310"/>
    </row>
    <row r="188" spans="1:7" x14ac:dyDescent="0.2">
      <c r="A188" s="314"/>
      <c r="B188" s="307"/>
      <c r="C188" s="311"/>
      <c r="D188" s="315" t="s">
        <v>1002</v>
      </c>
      <c r="E188" s="296"/>
      <c r="F188" s="316"/>
      <c r="G188" s="317"/>
    </row>
    <row r="189" spans="1:7" x14ac:dyDescent="0.2">
      <c r="A189" s="318" t="s">
        <v>976</v>
      </c>
      <c r="B189" s="319">
        <v>1043825</v>
      </c>
      <c r="C189" s="307" t="s">
        <v>1003</v>
      </c>
      <c r="D189" s="307" t="s">
        <v>1004</v>
      </c>
      <c r="E189" s="296"/>
      <c r="F189" s="320">
        <f>B198-B199</f>
        <v>-0.19463557851131696</v>
      </c>
      <c r="G189" s="310">
        <f>G187-G188</f>
        <v>0</v>
      </c>
    </row>
    <row r="190" spans="1:7" x14ac:dyDescent="0.2">
      <c r="A190" s="318" t="s">
        <v>978</v>
      </c>
      <c r="B190" s="321">
        <v>1.7686E-2</v>
      </c>
      <c r="C190" s="307" t="s">
        <v>1006</v>
      </c>
      <c r="D190" s="307"/>
      <c r="E190" s="296"/>
      <c r="F190" s="296"/>
      <c r="G190" s="322"/>
    </row>
    <row r="191" spans="1:7" x14ac:dyDescent="0.2">
      <c r="A191" s="318" t="s">
        <v>980</v>
      </c>
      <c r="B191" s="319">
        <v>205740</v>
      </c>
      <c r="C191" s="307" t="s">
        <v>981</v>
      </c>
      <c r="D191" s="307"/>
      <c r="E191" s="296"/>
      <c r="F191" s="296"/>
      <c r="G191" s="322"/>
    </row>
    <row r="192" spans="1:7" x14ac:dyDescent="0.2">
      <c r="A192" s="318" t="s">
        <v>982</v>
      </c>
      <c r="B192" s="319">
        <v>3639</v>
      </c>
      <c r="C192" s="307" t="s">
        <v>1009</v>
      </c>
      <c r="D192" s="307"/>
      <c r="E192" s="296"/>
      <c r="F192" s="296"/>
      <c r="G192" s="322"/>
    </row>
    <row r="193" spans="1:7" x14ac:dyDescent="0.2">
      <c r="A193" s="318" t="s">
        <v>984</v>
      </c>
      <c r="B193" s="319">
        <v>1047464</v>
      </c>
      <c r="C193" s="307" t="s">
        <v>985</v>
      </c>
      <c r="D193" s="307"/>
      <c r="E193" s="296"/>
      <c r="F193" s="296"/>
      <c r="G193" s="322"/>
    </row>
    <row r="194" spans="1:7" x14ac:dyDescent="0.2">
      <c r="A194" s="318" t="s">
        <v>986</v>
      </c>
      <c r="B194" s="319">
        <v>1105074</v>
      </c>
      <c r="C194" s="307" t="s">
        <v>987</v>
      </c>
      <c r="D194" s="307"/>
      <c r="E194" s="296"/>
      <c r="F194" s="296"/>
      <c r="G194" s="322"/>
    </row>
    <row r="195" spans="1:7" x14ac:dyDescent="0.2">
      <c r="A195" s="318" t="s">
        <v>988</v>
      </c>
      <c r="B195" s="319">
        <v>1105074</v>
      </c>
      <c r="C195" s="307" t="s">
        <v>989</v>
      </c>
      <c r="D195" s="307"/>
      <c r="E195" s="296"/>
      <c r="F195" s="296"/>
      <c r="G195" s="322"/>
    </row>
    <row r="196" spans="1:7" x14ac:dyDescent="0.2">
      <c r="A196" s="318" t="s">
        <v>990</v>
      </c>
      <c r="B196" s="319">
        <v>1105074</v>
      </c>
      <c r="C196" s="307" t="s">
        <v>1010</v>
      </c>
      <c r="D196" s="307"/>
      <c r="E196" s="296"/>
      <c r="F196" s="296"/>
      <c r="G196" s="322"/>
    </row>
    <row r="197" spans="1:7" x14ac:dyDescent="0.2">
      <c r="A197" s="318" t="s">
        <v>1011</v>
      </c>
      <c r="B197" s="321">
        <f>B196/63174650</f>
        <v>1.7492364421488684E-2</v>
      </c>
      <c r="C197" s="307" t="s">
        <v>992</v>
      </c>
      <c r="D197" s="307"/>
      <c r="E197" s="296"/>
      <c r="F197" s="296"/>
      <c r="G197" s="322"/>
    </row>
    <row r="198" spans="1:7" x14ac:dyDescent="0.2">
      <c r="A198" s="318" t="s">
        <v>1011</v>
      </c>
      <c r="B198" s="323">
        <f>B197*1000</f>
        <v>17.492364421488684</v>
      </c>
      <c r="C198" s="307" t="s">
        <v>993</v>
      </c>
      <c r="D198" s="307"/>
      <c r="E198" s="296"/>
      <c r="F198" s="296"/>
      <c r="G198" s="273"/>
    </row>
    <row r="199" spans="1:7" x14ac:dyDescent="0.2">
      <c r="A199" s="318" t="s">
        <v>1012</v>
      </c>
      <c r="B199" s="324">
        <v>17.687000000000001</v>
      </c>
      <c r="C199" s="296"/>
      <c r="D199" s="296"/>
      <c r="E199" s="296"/>
      <c r="F199" s="305"/>
      <c r="G199" s="273"/>
    </row>
    <row r="200" spans="1:7" ht="13.5" thickBot="1" x14ac:dyDescent="0.25">
      <c r="A200" s="325"/>
      <c r="B200" s="326" t="s">
        <v>994</v>
      </c>
      <c r="C200" s="327"/>
      <c r="D200" s="326"/>
      <c r="E200" s="328"/>
      <c r="F200" s="328"/>
      <c r="G200" s="329"/>
    </row>
    <row r="201" spans="1:7" ht="13.5" thickBot="1" x14ac:dyDescent="0.25">
      <c r="A201" s="330" t="s">
        <v>967</v>
      </c>
      <c r="B201" s="331"/>
      <c r="C201" s="326"/>
      <c r="D201" s="332"/>
      <c r="E201" s="333"/>
      <c r="F201" s="334"/>
      <c r="G201" s="329"/>
    </row>
    <row r="202" spans="1:7" ht="13.5" thickBot="1" x14ac:dyDescent="0.25"/>
    <row r="203" spans="1:7" x14ac:dyDescent="0.2">
      <c r="A203" s="335" t="s">
        <v>1023</v>
      </c>
      <c r="B203" s="336" t="s">
        <v>936</v>
      </c>
      <c r="C203" s="337" t="s">
        <v>996</v>
      </c>
      <c r="D203" s="338" t="s">
        <v>997</v>
      </c>
      <c r="E203" s="339">
        <v>17.687000000000001</v>
      </c>
      <c r="F203" s="340" t="s">
        <v>958</v>
      </c>
      <c r="G203" s="341"/>
    </row>
    <row r="204" spans="1:7" ht="13.5" thickBot="1" x14ac:dyDescent="0.25">
      <c r="A204" s="342" t="s">
        <v>939</v>
      </c>
      <c r="B204" s="343">
        <f>16.276+0.195</f>
        <v>16.471</v>
      </c>
      <c r="C204" s="344">
        <f>B204*B216/1000</f>
        <v>1066925.3312899999</v>
      </c>
      <c r="D204" s="345"/>
      <c r="E204" s="346">
        <v>42277</v>
      </c>
      <c r="F204" s="347" t="s">
        <v>1024</v>
      </c>
      <c r="G204" s="348"/>
    </row>
    <row r="205" spans="1:7" x14ac:dyDescent="0.2">
      <c r="A205" s="342" t="s">
        <v>940</v>
      </c>
      <c r="B205" s="343">
        <v>0.33600000000000002</v>
      </c>
      <c r="C205" s="344">
        <f>B205*B216/1000</f>
        <v>21764.732640000002</v>
      </c>
      <c r="D205" s="345"/>
      <c r="E205" s="349" t="s">
        <v>970</v>
      </c>
      <c r="F205" s="350"/>
      <c r="G205" s="351"/>
    </row>
    <row r="206" spans="1:7" x14ac:dyDescent="0.2">
      <c r="A206" s="342" t="s">
        <v>941</v>
      </c>
      <c r="B206" s="343">
        <v>0</v>
      </c>
      <c r="C206" s="344"/>
      <c r="D206" s="352"/>
      <c r="E206" s="353" t="s">
        <v>971</v>
      </c>
      <c r="F206" s="350"/>
      <c r="G206" s="351"/>
    </row>
    <row r="207" spans="1:7" x14ac:dyDescent="0.2">
      <c r="A207" s="342" t="s">
        <v>942</v>
      </c>
      <c r="B207" s="343">
        <v>0.88</v>
      </c>
      <c r="C207" s="344">
        <f>B207*B216/1000</f>
        <v>57002.871200000001</v>
      </c>
      <c r="D207" s="345"/>
      <c r="E207" s="354"/>
      <c r="F207" s="354"/>
      <c r="G207" s="355"/>
    </row>
    <row r="208" spans="1:7" x14ac:dyDescent="0.2">
      <c r="A208" s="342" t="s">
        <v>943</v>
      </c>
      <c r="B208" s="343">
        <v>0</v>
      </c>
      <c r="C208" s="344">
        <v>0</v>
      </c>
      <c r="D208" s="352"/>
      <c r="E208" s="354"/>
      <c r="F208" s="354"/>
      <c r="G208" s="355"/>
    </row>
    <row r="209" spans="1:7" x14ac:dyDescent="0.2">
      <c r="A209" s="356" t="s">
        <v>944</v>
      </c>
      <c r="B209" s="357">
        <v>0</v>
      </c>
      <c r="C209" s="344">
        <v>0</v>
      </c>
      <c r="D209" s="352"/>
      <c r="E209" s="358"/>
      <c r="F209" s="358"/>
      <c r="G209" s="355"/>
    </row>
    <row r="210" spans="1:7" x14ac:dyDescent="0.2">
      <c r="A210" s="356" t="s">
        <v>878</v>
      </c>
      <c r="B210" s="359">
        <v>0</v>
      </c>
      <c r="C210" s="360">
        <v>0</v>
      </c>
      <c r="D210" s="361"/>
      <c r="E210" s="354"/>
      <c r="F210" s="354"/>
      <c r="G210" s="355"/>
    </row>
    <row r="211" spans="1:7" x14ac:dyDescent="0.2">
      <c r="A211" s="362" t="s">
        <v>945</v>
      </c>
      <c r="B211" s="357">
        <f>SUM(B204:B210)</f>
        <v>17.686999999999998</v>
      </c>
      <c r="C211" s="363">
        <f>SUM(C204:C210)</f>
        <v>1145692.9351299999</v>
      </c>
      <c r="D211" s="352">
        <f>SUM(D204:D210)</f>
        <v>0</v>
      </c>
      <c r="E211" s="352"/>
      <c r="F211" s="364"/>
      <c r="G211" s="355"/>
    </row>
    <row r="212" spans="1:7" x14ac:dyDescent="0.2">
      <c r="A212" s="342"/>
      <c r="B212" s="365"/>
      <c r="C212" s="366" t="s">
        <v>946</v>
      </c>
      <c r="D212" s="354"/>
      <c r="E212" s="367" t="s">
        <v>947</v>
      </c>
      <c r="F212" s="367"/>
      <c r="G212" s="368"/>
    </row>
    <row r="213" spans="1:7" x14ac:dyDescent="0.2">
      <c r="A213" s="342" t="s">
        <v>1025</v>
      </c>
      <c r="B213" s="365"/>
      <c r="C213" s="344">
        <f>(16583060*B205/1000)*0.5</f>
        <v>2785.95408</v>
      </c>
      <c r="D213" s="354"/>
      <c r="E213" s="367"/>
      <c r="F213" s="367"/>
      <c r="G213" s="368"/>
    </row>
    <row r="214" spans="1:7" x14ac:dyDescent="0.2">
      <c r="A214" s="342" t="s">
        <v>948</v>
      </c>
      <c r="B214" s="354"/>
      <c r="C214" s="369"/>
      <c r="D214" s="354"/>
      <c r="E214" s="370"/>
      <c r="F214" s="346"/>
      <c r="G214" s="368"/>
    </row>
    <row r="215" spans="1:7" x14ac:dyDescent="0.2">
      <c r="A215" s="342"/>
      <c r="B215" s="354"/>
      <c r="C215" s="369"/>
      <c r="D215" s="354"/>
      <c r="E215" s="370"/>
      <c r="F215" s="346" t="s">
        <v>1020</v>
      </c>
      <c r="G215" s="368"/>
    </row>
    <row r="216" spans="1:7" x14ac:dyDescent="0.2">
      <c r="A216" s="371"/>
      <c r="B216" s="372">
        <v>64775990</v>
      </c>
      <c r="C216" s="354" t="s">
        <v>949</v>
      </c>
      <c r="D216" s="354"/>
      <c r="E216" s="354"/>
      <c r="F216" s="373">
        <f>17.687*B216/1000</f>
        <v>1145692.9351300001</v>
      </c>
      <c r="G216" s="374"/>
    </row>
    <row r="217" spans="1:7" x14ac:dyDescent="0.2">
      <c r="A217" s="375"/>
      <c r="B217" s="354" t="s">
        <v>939</v>
      </c>
      <c r="C217" s="357" t="s">
        <v>950</v>
      </c>
      <c r="D217" s="354"/>
      <c r="E217" s="354"/>
      <c r="F217" s="354"/>
      <c r="G217" s="368"/>
    </row>
    <row r="218" spans="1:7" x14ac:dyDescent="0.2">
      <c r="A218" s="376"/>
      <c r="B218" s="354" t="s">
        <v>940</v>
      </c>
      <c r="C218" s="354" t="s">
        <v>951</v>
      </c>
      <c r="D218" s="377"/>
      <c r="E218" s="377"/>
      <c r="F218" s="377"/>
      <c r="G218" s="368"/>
    </row>
    <row r="219" spans="1:7" x14ac:dyDescent="0.2">
      <c r="A219" s="375"/>
      <c r="B219" s="354" t="s">
        <v>941</v>
      </c>
      <c r="C219" s="378"/>
      <c r="D219" s="354"/>
      <c r="E219" s="354"/>
      <c r="F219" s="354"/>
      <c r="G219" s="368"/>
    </row>
    <row r="220" spans="1:7" x14ac:dyDescent="0.2">
      <c r="A220" s="375"/>
      <c r="B220" s="354" t="s">
        <v>942</v>
      </c>
      <c r="C220" s="379"/>
      <c r="D220" s="354"/>
      <c r="E220" s="354"/>
      <c r="F220" s="354"/>
      <c r="G220" s="368"/>
    </row>
    <row r="221" spans="1:7" x14ac:dyDescent="0.2">
      <c r="A221" s="375"/>
      <c r="B221" s="354" t="s">
        <v>943</v>
      </c>
      <c r="C221" s="354"/>
      <c r="D221" s="344"/>
      <c r="E221" s="354"/>
      <c r="F221" s="344"/>
      <c r="G221" s="380"/>
    </row>
    <row r="222" spans="1:7" x14ac:dyDescent="0.2">
      <c r="A222" s="375"/>
      <c r="B222" s="354" t="s">
        <v>952</v>
      </c>
      <c r="C222" s="354"/>
      <c r="D222" s="354"/>
      <c r="E222" s="354"/>
      <c r="F222" s="354"/>
      <c r="G222" s="368">
        <f>SUM(G220:G221)</f>
        <v>0</v>
      </c>
    </row>
    <row r="223" spans="1:7" x14ac:dyDescent="0.2">
      <c r="A223" s="375"/>
      <c r="B223" s="354" t="s">
        <v>878</v>
      </c>
      <c r="C223" s="354"/>
      <c r="D223" s="381" t="s">
        <v>961</v>
      </c>
      <c r="E223" s="382">
        <f>A216/1000</f>
        <v>0</v>
      </c>
      <c r="F223" s="354"/>
      <c r="G223" s="368"/>
    </row>
    <row r="224" spans="1:7" x14ac:dyDescent="0.2">
      <c r="A224" s="375"/>
      <c r="B224" s="354" t="s">
        <v>945</v>
      </c>
      <c r="C224" s="354"/>
      <c r="D224" s="354"/>
      <c r="E224" s="378"/>
      <c r="F224" s="378"/>
      <c r="G224" s="368"/>
    </row>
    <row r="225" spans="1:7" ht="13.5" thickBot="1" x14ac:dyDescent="0.25">
      <c r="A225" s="375"/>
      <c r="B225" s="354" t="s">
        <v>954</v>
      </c>
      <c r="C225" s="354"/>
      <c r="D225" s="383"/>
      <c r="E225" s="354"/>
      <c r="F225" s="354"/>
      <c r="G225" s="368"/>
    </row>
    <row r="226" spans="1:7" ht="13.5" thickBot="1" x14ac:dyDescent="0.25">
      <c r="A226" s="375"/>
      <c r="B226" s="384" t="s">
        <v>999</v>
      </c>
      <c r="C226" s="385"/>
      <c r="D226" s="386"/>
      <c r="E226" s="378"/>
      <c r="F226" s="387"/>
      <c r="G226" s="355"/>
    </row>
    <row r="227" spans="1:7" x14ac:dyDescent="0.2">
      <c r="A227" s="388" t="s">
        <v>962</v>
      </c>
      <c r="B227" s="389"/>
      <c r="C227" s="390">
        <v>1146108</v>
      </c>
      <c r="D227" s="391" t="s">
        <v>1021</v>
      </c>
      <c r="E227" s="378"/>
      <c r="F227" s="378"/>
      <c r="G227" s="392">
        <f>C227*1.055</f>
        <v>1209143.94</v>
      </c>
    </row>
    <row r="228" spans="1:7" x14ac:dyDescent="0.2">
      <c r="A228" s="388" t="s">
        <v>973</v>
      </c>
      <c r="B228" s="389"/>
      <c r="C228" s="393"/>
      <c r="D228" s="391" t="s">
        <v>1022</v>
      </c>
      <c r="E228" s="378"/>
      <c r="F228" s="378"/>
      <c r="G228" s="394"/>
    </row>
    <row r="229" spans="1:7" x14ac:dyDescent="0.2">
      <c r="A229" s="395">
        <v>41913</v>
      </c>
      <c r="B229" s="378"/>
      <c r="C229" s="378"/>
      <c r="D229" s="389" t="s">
        <v>964</v>
      </c>
      <c r="E229" s="378"/>
      <c r="F229" s="378"/>
      <c r="G229" s="392"/>
    </row>
    <row r="230" spans="1:7" x14ac:dyDescent="0.2">
      <c r="A230" s="396"/>
      <c r="B230" s="389"/>
      <c r="C230" s="393"/>
      <c r="D230" s="397" t="s">
        <v>1002</v>
      </c>
      <c r="E230" s="378"/>
      <c r="F230" s="398"/>
      <c r="G230" s="399"/>
    </row>
    <row r="231" spans="1:7" x14ac:dyDescent="0.2">
      <c r="A231" s="400" t="s">
        <v>976</v>
      </c>
      <c r="B231" s="401">
        <v>1043825</v>
      </c>
      <c r="C231" s="389" t="s">
        <v>1003</v>
      </c>
      <c r="D231" s="389" t="s">
        <v>1004</v>
      </c>
      <c r="E231" s="378"/>
      <c r="F231" s="402">
        <f>B240-B241</f>
        <v>-0.19463557851131696</v>
      </c>
      <c r="G231" s="392">
        <f>G229-G230</f>
        <v>0</v>
      </c>
    </row>
    <row r="232" spans="1:7" x14ac:dyDescent="0.2">
      <c r="A232" s="400" t="s">
        <v>978</v>
      </c>
      <c r="B232" s="403">
        <v>1.7686E-2</v>
      </c>
      <c r="C232" s="389" t="s">
        <v>1006</v>
      </c>
      <c r="D232" s="389"/>
      <c r="E232" s="378"/>
      <c r="F232" s="378"/>
      <c r="G232" s="404"/>
    </row>
    <row r="233" spans="1:7" x14ac:dyDescent="0.2">
      <c r="A233" s="400" t="s">
        <v>980</v>
      </c>
      <c r="B233" s="401">
        <v>205740</v>
      </c>
      <c r="C233" s="389" t="s">
        <v>981</v>
      </c>
      <c r="D233" s="389"/>
      <c r="E233" s="378"/>
      <c r="F233" s="378"/>
      <c r="G233" s="404"/>
    </row>
    <row r="234" spans="1:7" x14ac:dyDescent="0.2">
      <c r="A234" s="400" t="s">
        <v>982</v>
      </c>
      <c r="B234" s="401">
        <v>3639</v>
      </c>
      <c r="C234" s="389" t="s">
        <v>1009</v>
      </c>
      <c r="D234" s="389"/>
      <c r="E234" s="378"/>
      <c r="F234" s="378"/>
      <c r="G234" s="404"/>
    </row>
    <row r="235" spans="1:7" x14ac:dyDescent="0.2">
      <c r="A235" s="400" t="s">
        <v>984</v>
      </c>
      <c r="B235" s="401">
        <v>1047464</v>
      </c>
      <c r="C235" s="389" t="s">
        <v>985</v>
      </c>
      <c r="D235" s="389"/>
      <c r="E235" s="378"/>
      <c r="F235" s="378"/>
      <c r="G235" s="404"/>
    </row>
    <row r="236" spans="1:7" x14ac:dyDescent="0.2">
      <c r="A236" s="400" t="s">
        <v>986</v>
      </c>
      <c r="B236" s="401">
        <v>1105074</v>
      </c>
      <c r="C236" s="389" t="s">
        <v>987</v>
      </c>
      <c r="D236" s="389"/>
      <c r="E236" s="378"/>
      <c r="F236" s="378"/>
      <c r="G236" s="404"/>
    </row>
    <row r="237" spans="1:7" x14ac:dyDescent="0.2">
      <c r="A237" s="400" t="s">
        <v>988</v>
      </c>
      <c r="B237" s="401">
        <v>1105074</v>
      </c>
      <c r="C237" s="389" t="s">
        <v>989</v>
      </c>
      <c r="D237" s="389"/>
      <c r="E237" s="378"/>
      <c r="F237" s="378"/>
      <c r="G237" s="404"/>
    </row>
    <row r="238" spans="1:7" x14ac:dyDescent="0.2">
      <c r="A238" s="400" t="s">
        <v>990</v>
      </c>
      <c r="B238" s="401">
        <v>1105074</v>
      </c>
      <c r="C238" s="389" t="s">
        <v>1010</v>
      </c>
      <c r="D238" s="389"/>
      <c r="E238" s="378"/>
      <c r="F238" s="378"/>
      <c r="G238" s="404"/>
    </row>
    <row r="239" spans="1:7" x14ac:dyDescent="0.2">
      <c r="A239" s="400" t="s">
        <v>1011</v>
      </c>
      <c r="B239" s="403">
        <f>B238/63174650</f>
        <v>1.7492364421488684E-2</v>
      </c>
      <c r="C239" s="389" t="s">
        <v>992</v>
      </c>
      <c r="D239" s="389"/>
      <c r="E239" s="378"/>
      <c r="F239" s="378"/>
      <c r="G239" s="404"/>
    </row>
    <row r="240" spans="1:7" x14ac:dyDescent="0.2">
      <c r="A240" s="400" t="s">
        <v>1011</v>
      </c>
      <c r="B240" s="405">
        <f>B239*1000</f>
        <v>17.492364421488684</v>
      </c>
      <c r="C240" s="389" t="s">
        <v>993</v>
      </c>
      <c r="D240" s="389"/>
      <c r="E240" s="378"/>
      <c r="F240" s="378"/>
      <c r="G240" s="355"/>
    </row>
    <row r="241" spans="1:7" x14ac:dyDescent="0.2">
      <c r="A241" s="400" t="s">
        <v>1012</v>
      </c>
      <c r="B241" s="406">
        <v>17.687000000000001</v>
      </c>
      <c r="C241" s="378"/>
      <c r="D241" s="378"/>
      <c r="E241" s="378"/>
      <c r="F241" s="387"/>
      <c r="G241" s="355"/>
    </row>
    <row r="242" spans="1:7" ht="13.5" thickBot="1" x14ac:dyDescent="0.25">
      <c r="A242" s="407"/>
      <c r="B242" s="408" t="s">
        <v>994</v>
      </c>
      <c r="C242" s="409"/>
      <c r="D242" s="408"/>
      <c r="E242" s="410"/>
      <c r="F242" s="410"/>
      <c r="G242" s="411"/>
    </row>
    <row r="243" spans="1:7" ht="13.5" thickBot="1" x14ac:dyDescent="0.25">
      <c r="A243" s="412" t="s">
        <v>967</v>
      </c>
      <c r="B243" s="413"/>
      <c r="C243" s="408"/>
      <c r="D243" s="414"/>
      <c r="E243" s="415"/>
      <c r="F243" s="416"/>
      <c r="G243" s="411"/>
    </row>
    <row r="244" spans="1:7" x14ac:dyDescent="0.2">
      <c r="A244" s="482" t="s">
        <v>1023</v>
      </c>
      <c r="B244" s="483" t="s">
        <v>936</v>
      </c>
      <c r="C244" s="484" t="s">
        <v>996</v>
      </c>
      <c r="D244" s="485" t="s">
        <v>997</v>
      </c>
      <c r="E244" s="486">
        <v>17.687000000000001</v>
      </c>
      <c r="F244" s="478" t="s">
        <v>958</v>
      </c>
      <c r="G244" s="479"/>
    </row>
    <row r="245" spans="1:7" ht="13.5" thickBot="1" x14ac:dyDescent="0.25">
      <c r="A245" s="487" t="s">
        <v>939</v>
      </c>
      <c r="B245" s="488">
        <f>16.276+0.195</f>
        <v>16.471</v>
      </c>
      <c r="C245" s="489">
        <f>B245*B257/1000</f>
        <v>1063075.07033</v>
      </c>
      <c r="D245" s="490"/>
      <c r="E245" s="491">
        <v>42277</v>
      </c>
      <c r="F245" s="480" t="s">
        <v>1078</v>
      </c>
      <c r="G245" s="481"/>
    </row>
    <row r="246" spans="1:7" x14ac:dyDescent="0.2">
      <c r="A246" s="487" t="s">
        <v>940</v>
      </c>
      <c r="B246" s="488">
        <v>0.33600000000000002</v>
      </c>
      <c r="C246" s="489">
        <f>B246*B257/1000</f>
        <v>21686.189280000002</v>
      </c>
      <c r="D246" s="490"/>
      <c r="E246" s="492" t="s">
        <v>970</v>
      </c>
      <c r="F246" s="493"/>
      <c r="G246" s="494"/>
    </row>
    <row r="247" spans="1:7" x14ac:dyDescent="0.2">
      <c r="A247" s="487" t="s">
        <v>941</v>
      </c>
      <c r="B247" s="488">
        <v>0</v>
      </c>
      <c r="C247" s="489"/>
      <c r="D247" s="495"/>
      <c r="E247" s="496" t="s">
        <v>971</v>
      </c>
      <c r="F247" s="493"/>
      <c r="G247" s="494"/>
    </row>
    <row r="248" spans="1:7" x14ac:dyDescent="0.2">
      <c r="A248" s="487" t="s">
        <v>942</v>
      </c>
      <c r="B248" s="488">
        <v>0.88</v>
      </c>
      <c r="C248" s="489">
        <f>B248*B257/1000</f>
        <v>56797.162400000001</v>
      </c>
      <c r="D248" s="490"/>
      <c r="E248" s="497"/>
      <c r="F248" s="497"/>
      <c r="G248" s="498"/>
    </row>
    <row r="249" spans="1:7" x14ac:dyDescent="0.2">
      <c r="A249" s="487" t="s">
        <v>943</v>
      </c>
      <c r="B249" s="488">
        <v>0</v>
      </c>
      <c r="C249" s="489">
        <v>0</v>
      </c>
      <c r="D249" s="495"/>
      <c r="E249" s="497"/>
      <c r="F249" s="497"/>
      <c r="G249" s="498"/>
    </row>
    <row r="250" spans="1:7" x14ac:dyDescent="0.2">
      <c r="A250" s="499" t="s">
        <v>944</v>
      </c>
      <c r="B250" s="500">
        <v>0</v>
      </c>
      <c r="C250" s="489">
        <v>0</v>
      </c>
      <c r="D250" s="495"/>
      <c r="E250" s="501"/>
      <c r="F250" s="501"/>
      <c r="G250" s="498"/>
    </row>
    <row r="251" spans="1:7" x14ac:dyDescent="0.2">
      <c r="A251" s="499" t="s">
        <v>878</v>
      </c>
      <c r="B251" s="502">
        <v>0</v>
      </c>
      <c r="C251" s="503">
        <v>0</v>
      </c>
      <c r="D251" s="504"/>
      <c r="E251" s="497"/>
      <c r="F251" s="497"/>
      <c r="G251" s="498"/>
    </row>
    <row r="252" spans="1:7" x14ac:dyDescent="0.2">
      <c r="A252" s="505" t="s">
        <v>945</v>
      </c>
      <c r="B252" s="500">
        <f>SUM(B245:B251)</f>
        <v>17.686999999999998</v>
      </c>
      <c r="C252" s="506">
        <f>SUM(C245:C251)</f>
        <v>1141558.4220100001</v>
      </c>
      <c r="D252" s="495">
        <f>SUM(D245:D251)</f>
        <v>0</v>
      </c>
      <c r="E252" s="495"/>
      <c r="F252" s="507"/>
      <c r="G252" s="498"/>
    </row>
    <row r="253" spans="1:7" x14ac:dyDescent="0.2">
      <c r="A253" s="487"/>
      <c r="B253" s="508"/>
      <c r="C253" s="509" t="s">
        <v>946</v>
      </c>
      <c r="D253" s="497"/>
      <c r="E253" s="510" t="s">
        <v>947</v>
      </c>
      <c r="F253" s="510"/>
      <c r="G253" s="511"/>
    </row>
    <row r="254" spans="1:7" x14ac:dyDescent="0.2">
      <c r="A254" s="487" t="s">
        <v>1025</v>
      </c>
      <c r="B254" s="508"/>
      <c r="C254" s="489">
        <f>(16583060*B246/1000)*0.5</f>
        <v>2785.95408</v>
      </c>
      <c r="D254" s="497"/>
      <c r="E254" s="510"/>
      <c r="F254" s="510"/>
      <c r="G254" s="511"/>
    </row>
    <row r="255" spans="1:7" x14ac:dyDescent="0.2">
      <c r="A255" s="487" t="s">
        <v>948</v>
      </c>
      <c r="B255" s="497"/>
      <c r="C255" s="512"/>
      <c r="D255" s="497"/>
      <c r="E255" s="513"/>
      <c r="F255" s="491"/>
      <c r="G255" s="511"/>
    </row>
    <row r="256" spans="1:7" x14ac:dyDescent="0.2">
      <c r="A256" s="487"/>
      <c r="B256" s="497"/>
      <c r="C256" s="512"/>
      <c r="D256" s="497"/>
      <c r="E256" s="513"/>
      <c r="F256" s="491" t="s">
        <v>1020</v>
      </c>
      <c r="G256" s="511"/>
    </row>
    <row r="257" spans="1:7" x14ac:dyDescent="0.2">
      <c r="A257" s="514"/>
      <c r="B257" s="515">
        <v>64542230</v>
      </c>
      <c r="C257" s="497" t="s">
        <v>949</v>
      </c>
      <c r="D257" s="497"/>
      <c r="E257" s="497"/>
      <c r="F257" s="516">
        <f>17.687*B257/1000</f>
        <v>1141558.4220100001</v>
      </c>
      <c r="G257" s="517"/>
    </row>
    <row r="258" spans="1:7" x14ac:dyDescent="0.2">
      <c r="A258" s="518"/>
      <c r="B258" s="497" t="s">
        <v>939</v>
      </c>
      <c r="C258" s="500" t="s">
        <v>950</v>
      </c>
      <c r="D258" s="497"/>
      <c r="E258" s="497"/>
      <c r="F258" s="497"/>
      <c r="G258" s="511"/>
    </row>
    <row r="259" spans="1:7" x14ac:dyDescent="0.2">
      <c r="A259" s="519"/>
      <c r="B259" s="497" t="s">
        <v>940</v>
      </c>
      <c r="C259" s="497" t="s">
        <v>951</v>
      </c>
      <c r="D259" s="520"/>
      <c r="E259" s="520"/>
      <c r="F259" s="520"/>
      <c r="G259" s="511"/>
    </row>
    <row r="260" spans="1:7" x14ac:dyDescent="0.2">
      <c r="A260" s="518"/>
      <c r="B260" s="497" t="s">
        <v>941</v>
      </c>
      <c r="C260" s="521"/>
      <c r="D260" s="497"/>
      <c r="E260" s="497"/>
      <c r="F260" s="497"/>
      <c r="G260" s="511"/>
    </row>
    <row r="261" spans="1:7" x14ac:dyDescent="0.2">
      <c r="A261" s="518"/>
      <c r="B261" s="497" t="s">
        <v>942</v>
      </c>
      <c r="C261" s="522"/>
      <c r="D261" s="497"/>
      <c r="E261" s="497"/>
      <c r="F261" s="497"/>
      <c r="G261" s="511"/>
    </row>
    <row r="262" spans="1:7" x14ac:dyDescent="0.2">
      <c r="A262" s="518"/>
      <c r="B262" s="497" t="s">
        <v>943</v>
      </c>
      <c r="C262" s="497"/>
      <c r="D262" s="489"/>
      <c r="E262" s="497"/>
      <c r="F262" s="489"/>
      <c r="G262" s="523"/>
    </row>
    <row r="263" spans="1:7" x14ac:dyDescent="0.2">
      <c r="A263" s="518"/>
      <c r="B263" s="497" t="s">
        <v>952</v>
      </c>
      <c r="C263" s="497"/>
      <c r="D263" s="497"/>
      <c r="E263" s="497"/>
      <c r="F263" s="497"/>
      <c r="G263" s="511">
        <f>SUM(G261:G262)</f>
        <v>0</v>
      </c>
    </row>
    <row r="264" spans="1:7" x14ac:dyDescent="0.2">
      <c r="A264" s="518"/>
      <c r="B264" s="497" t="s">
        <v>878</v>
      </c>
      <c r="C264" s="497"/>
      <c r="D264" s="524" t="s">
        <v>961</v>
      </c>
      <c r="E264" s="525">
        <f>A257/1000</f>
        <v>0</v>
      </c>
      <c r="F264" s="497"/>
      <c r="G264" s="511"/>
    </row>
    <row r="265" spans="1:7" x14ac:dyDescent="0.2">
      <c r="A265" s="518"/>
      <c r="B265" s="497" t="s">
        <v>945</v>
      </c>
      <c r="C265" s="497"/>
      <c r="D265" s="497"/>
      <c r="E265" s="521"/>
      <c r="F265" s="521"/>
      <c r="G265" s="511"/>
    </row>
    <row r="266" spans="1:7" ht="13.5" thickBot="1" x14ac:dyDescent="0.25">
      <c r="A266" s="518"/>
      <c r="B266" s="497" t="s">
        <v>954</v>
      </c>
      <c r="C266" s="497"/>
      <c r="D266" s="526"/>
      <c r="E266" s="497"/>
      <c r="F266" s="497"/>
      <c r="G266" s="511"/>
    </row>
    <row r="267" spans="1:7" ht="13.5" thickBot="1" x14ac:dyDescent="0.25">
      <c r="A267" s="518"/>
      <c r="B267" s="527" t="s">
        <v>999</v>
      </c>
      <c r="C267" s="528"/>
      <c r="D267" s="529"/>
      <c r="E267" s="521"/>
      <c r="F267" s="530"/>
      <c r="G267" s="498"/>
    </row>
    <row r="268" spans="1:7" x14ac:dyDescent="0.2">
      <c r="A268" s="531" t="s">
        <v>962</v>
      </c>
      <c r="B268" s="532"/>
      <c r="C268" s="533">
        <v>1146108</v>
      </c>
      <c r="D268" s="534" t="s">
        <v>1021</v>
      </c>
      <c r="E268" s="521"/>
      <c r="F268" s="521"/>
      <c r="G268" s="535">
        <f>C268*1.055</f>
        <v>1209143.94</v>
      </c>
    </row>
    <row r="269" spans="1:7" x14ac:dyDescent="0.2">
      <c r="A269" s="531" t="s">
        <v>973</v>
      </c>
      <c r="B269" s="532"/>
      <c r="C269" s="536"/>
      <c r="D269" s="534" t="s">
        <v>1022</v>
      </c>
      <c r="E269" s="521"/>
      <c r="F269" s="521"/>
      <c r="G269" s="537"/>
    </row>
    <row r="270" spans="1:7" x14ac:dyDescent="0.2">
      <c r="A270" s="538">
        <v>41913</v>
      </c>
      <c r="B270" s="521"/>
      <c r="C270" s="521"/>
      <c r="D270" s="532" t="s">
        <v>964</v>
      </c>
      <c r="E270" s="521"/>
      <c r="F270" s="521"/>
      <c r="G270" s="535"/>
    </row>
    <row r="271" spans="1:7" x14ac:dyDescent="0.2">
      <c r="A271" s="539"/>
      <c r="B271" s="532"/>
      <c r="C271" s="536"/>
      <c r="D271" s="540" t="s">
        <v>1002</v>
      </c>
      <c r="E271" s="521"/>
      <c r="F271" s="541"/>
      <c r="G271" s="542"/>
    </row>
    <row r="272" spans="1:7" x14ac:dyDescent="0.2">
      <c r="A272" s="543" t="s">
        <v>976</v>
      </c>
      <c r="B272" s="544">
        <v>1043825</v>
      </c>
      <c r="C272" s="532" t="s">
        <v>1003</v>
      </c>
      <c r="D272" s="532" t="s">
        <v>1004</v>
      </c>
      <c r="E272" s="521"/>
      <c r="F272" s="545">
        <f>B281-B282</f>
        <v>-0.19463557851131696</v>
      </c>
      <c r="G272" s="535">
        <f>G270-G271</f>
        <v>0</v>
      </c>
    </row>
    <row r="273" spans="1:10" x14ac:dyDescent="0.2">
      <c r="A273" s="543" t="s">
        <v>978</v>
      </c>
      <c r="B273" s="546">
        <v>1.7686E-2</v>
      </c>
      <c r="C273" s="532" t="s">
        <v>1006</v>
      </c>
      <c r="D273" s="532"/>
      <c r="E273" s="521"/>
      <c r="F273" s="521"/>
      <c r="G273" s="547"/>
    </row>
    <row r="274" spans="1:10" x14ac:dyDescent="0.2">
      <c r="A274" s="543" t="s">
        <v>980</v>
      </c>
      <c r="B274" s="544">
        <v>205740</v>
      </c>
      <c r="C274" s="532" t="s">
        <v>981</v>
      </c>
      <c r="D274" s="532"/>
      <c r="E274" s="521"/>
      <c r="F274" s="521"/>
      <c r="G274" s="547"/>
    </row>
    <row r="275" spans="1:10" x14ac:dyDescent="0.2">
      <c r="A275" s="543" t="s">
        <v>982</v>
      </c>
      <c r="B275" s="544">
        <v>3639</v>
      </c>
      <c r="C275" s="532" t="s">
        <v>1009</v>
      </c>
      <c r="D275" s="532"/>
      <c r="E275" s="521"/>
      <c r="F275" s="521"/>
      <c r="G275" s="547"/>
    </row>
    <row r="276" spans="1:10" x14ac:dyDescent="0.2">
      <c r="A276" s="543" t="s">
        <v>984</v>
      </c>
      <c r="B276" s="544">
        <v>1047464</v>
      </c>
      <c r="C276" s="532" t="s">
        <v>985</v>
      </c>
      <c r="D276" s="532"/>
      <c r="E276" s="521"/>
      <c r="F276" s="521"/>
      <c r="G276" s="547"/>
    </row>
    <row r="277" spans="1:10" x14ac:dyDescent="0.2">
      <c r="A277" s="543" t="s">
        <v>986</v>
      </c>
      <c r="B277" s="544">
        <v>1105074</v>
      </c>
      <c r="C277" s="532" t="s">
        <v>987</v>
      </c>
      <c r="D277" s="532"/>
      <c r="E277" s="521"/>
      <c r="F277" s="521"/>
      <c r="G277" s="547"/>
    </row>
    <row r="278" spans="1:10" x14ac:dyDescent="0.2">
      <c r="A278" s="543" t="s">
        <v>988</v>
      </c>
      <c r="B278" s="544">
        <v>1105074</v>
      </c>
      <c r="C278" s="532" t="s">
        <v>989</v>
      </c>
      <c r="D278" s="532"/>
      <c r="E278" s="521"/>
      <c r="F278" s="521"/>
      <c r="G278" s="547"/>
    </row>
    <row r="279" spans="1:10" x14ac:dyDescent="0.2">
      <c r="A279" s="543" t="s">
        <v>990</v>
      </c>
      <c r="B279" s="544">
        <v>1105074</v>
      </c>
      <c r="C279" s="532" t="s">
        <v>1010</v>
      </c>
      <c r="D279" s="532"/>
      <c r="E279" s="521"/>
      <c r="F279" s="521"/>
      <c r="G279" s="547"/>
    </row>
    <row r="280" spans="1:10" x14ac:dyDescent="0.2">
      <c r="A280" s="543" t="s">
        <v>1011</v>
      </c>
      <c r="B280" s="546">
        <f>B279/63174650</f>
        <v>1.7492364421488684E-2</v>
      </c>
      <c r="C280" s="532" t="s">
        <v>992</v>
      </c>
      <c r="D280" s="532"/>
      <c r="E280" s="521"/>
      <c r="F280" s="521"/>
      <c r="G280" s="547"/>
    </row>
    <row r="281" spans="1:10" x14ac:dyDescent="0.2">
      <c r="A281" s="543" t="s">
        <v>1011</v>
      </c>
      <c r="B281" s="548">
        <f>B280*1000</f>
        <v>17.492364421488684</v>
      </c>
      <c r="C281" s="532" t="s">
        <v>993</v>
      </c>
      <c r="D281" s="532"/>
      <c r="E281" s="521"/>
      <c r="F281" s="521"/>
      <c r="G281" s="498"/>
    </row>
    <row r="282" spans="1:10" x14ac:dyDescent="0.2">
      <c r="A282" s="543" t="s">
        <v>1012</v>
      </c>
      <c r="B282" s="549">
        <v>17.687000000000001</v>
      </c>
      <c r="C282" s="521"/>
      <c r="D282" s="521"/>
      <c r="E282" s="521"/>
      <c r="F282" s="530"/>
      <c r="G282" s="498"/>
    </row>
    <row r="283" spans="1:10" ht="13.5" thickBot="1" x14ac:dyDescent="0.25">
      <c r="A283" s="550"/>
      <c r="B283" s="551" t="s">
        <v>994</v>
      </c>
      <c r="C283" s="552"/>
      <c r="D283" s="551"/>
      <c r="E283" s="553"/>
      <c r="F283" s="553"/>
      <c r="G283" s="554"/>
    </row>
    <row r="284" spans="1:10" ht="13.5" thickBot="1" x14ac:dyDescent="0.25">
      <c r="A284" s="555" t="s">
        <v>967</v>
      </c>
      <c r="B284" s="556"/>
      <c r="C284" s="551"/>
      <c r="D284" s="557"/>
      <c r="E284" s="558"/>
      <c r="F284" s="559"/>
      <c r="G284" s="554"/>
    </row>
    <row r="285" spans="1:10" ht="13.5" thickBot="1" x14ac:dyDescent="0.25"/>
    <row r="286" spans="1:10" x14ac:dyDescent="0.2">
      <c r="A286" s="817" t="s">
        <v>1123</v>
      </c>
      <c r="B286" s="818" t="s">
        <v>936</v>
      </c>
      <c r="C286" s="819" t="s">
        <v>996</v>
      </c>
      <c r="D286" s="820" t="s">
        <v>997</v>
      </c>
      <c r="E286" s="821">
        <v>17.687000000000001</v>
      </c>
      <c r="F286" s="822" t="s">
        <v>958</v>
      </c>
      <c r="G286" s="823"/>
    </row>
    <row r="287" spans="1:10" ht="13.5" thickBot="1" x14ac:dyDescent="0.25">
      <c r="A287" s="824" t="s">
        <v>939</v>
      </c>
      <c r="B287" s="825">
        <v>15.567</v>
      </c>
      <c r="C287" s="826">
        <f>B287*B299/1000</f>
        <v>1004608.8728400001</v>
      </c>
      <c r="D287" s="827"/>
      <c r="E287" s="828">
        <v>42277</v>
      </c>
      <c r="F287" s="829" t="s">
        <v>1078</v>
      </c>
      <c r="G287" s="830"/>
      <c r="J287" s="5">
        <f>15.851-0.284</f>
        <v>15.567</v>
      </c>
    </row>
    <row r="288" spans="1:10" x14ac:dyDescent="0.2">
      <c r="A288" s="824" t="s">
        <v>940</v>
      </c>
      <c r="B288" s="825">
        <v>0.95599999999999996</v>
      </c>
      <c r="C288" s="826">
        <f>B288*B299/1000</f>
        <v>61695.001120000001</v>
      </c>
      <c r="D288" s="827"/>
      <c r="E288" s="831" t="s">
        <v>970</v>
      </c>
      <c r="F288" s="832"/>
      <c r="G288" s="833"/>
    </row>
    <row r="289" spans="1:9" x14ac:dyDescent="0.2">
      <c r="A289" s="824" t="s">
        <v>941</v>
      </c>
      <c r="B289" s="825">
        <v>0.28399999999999997</v>
      </c>
      <c r="C289" s="826">
        <f>B289*B299/1000</f>
        <v>18327.803680000001</v>
      </c>
      <c r="D289" s="834"/>
      <c r="E289" s="835" t="s">
        <v>971</v>
      </c>
      <c r="F289" s="832"/>
      <c r="G289" s="833"/>
    </row>
    <row r="290" spans="1:9" x14ac:dyDescent="0.2">
      <c r="A290" s="824" t="s">
        <v>942</v>
      </c>
      <c r="B290" s="825">
        <v>0.88</v>
      </c>
      <c r="C290" s="826">
        <f>B290*B299/1000</f>
        <v>56790.3776</v>
      </c>
      <c r="D290" s="827"/>
      <c r="E290" s="836"/>
      <c r="F290" s="836"/>
      <c r="G290" s="837"/>
      <c r="I290" s="5">
        <v>1062948</v>
      </c>
    </row>
    <row r="291" spans="1:9" x14ac:dyDescent="0.2">
      <c r="A291" s="824" t="s">
        <v>943</v>
      </c>
      <c r="B291" s="825">
        <v>0</v>
      </c>
      <c r="C291" s="826">
        <v>0</v>
      </c>
      <c r="D291" s="834"/>
      <c r="E291" s="836"/>
      <c r="F291" s="836"/>
      <c r="G291" s="837"/>
    </row>
    <row r="292" spans="1:9" x14ac:dyDescent="0.2">
      <c r="A292" s="838" t="s">
        <v>944</v>
      </c>
      <c r="B292" s="839">
        <v>0</v>
      </c>
      <c r="C292" s="826">
        <v>0</v>
      </c>
      <c r="D292" s="834"/>
      <c r="E292" s="840"/>
      <c r="F292" s="840"/>
      <c r="G292" s="837"/>
      <c r="I292" s="5">
        <v>1141422</v>
      </c>
    </row>
    <row r="293" spans="1:9" x14ac:dyDescent="0.2">
      <c r="A293" s="838" t="s">
        <v>878</v>
      </c>
      <c r="B293" s="841">
        <v>0</v>
      </c>
      <c r="C293" s="842">
        <v>0</v>
      </c>
      <c r="D293" s="843"/>
      <c r="E293" s="836"/>
      <c r="F293" s="836"/>
      <c r="G293" s="837"/>
    </row>
    <row r="294" spans="1:9" x14ac:dyDescent="0.2">
      <c r="A294" s="844" t="s">
        <v>945</v>
      </c>
      <c r="B294" s="839">
        <f>SUM(B287:B293)</f>
        <v>17.686999999999998</v>
      </c>
      <c r="C294" s="845">
        <f>SUM(C287:C293)</f>
        <v>1141422.0552399999</v>
      </c>
      <c r="D294" s="834">
        <f>SUM(D287:D293)</f>
        <v>0</v>
      </c>
      <c r="E294" s="834"/>
      <c r="F294" s="846"/>
      <c r="G294" s="837"/>
    </row>
    <row r="295" spans="1:9" x14ac:dyDescent="0.2">
      <c r="A295" s="824"/>
      <c r="B295" s="847"/>
      <c r="C295" s="848" t="s">
        <v>946</v>
      </c>
      <c r="D295" s="836"/>
      <c r="E295" s="849" t="s">
        <v>947</v>
      </c>
      <c r="F295" s="849"/>
      <c r="G295" s="850"/>
    </row>
    <row r="296" spans="1:9" x14ac:dyDescent="0.2">
      <c r="A296" s="824" t="s">
        <v>1025</v>
      </c>
      <c r="B296" s="847"/>
      <c r="C296" s="826">
        <f>(16583060*B288/1000)*0.5</f>
        <v>7926.7026799999994</v>
      </c>
      <c r="D296" s="836"/>
      <c r="E296" s="849"/>
      <c r="F296" s="849"/>
      <c r="G296" s="850"/>
    </row>
    <row r="297" spans="1:9" x14ac:dyDescent="0.2">
      <c r="A297" s="824" t="s">
        <v>948</v>
      </c>
      <c r="B297" s="836"/>
      <c r="C297" s="851"/>
      <c r="D297" s="836"/>
      <c r="E297" s="852"/>
      <c r="F297" s="828"/>
      <c r="G297" s="850"/>
    </row>
    <row r="298" spans="1:9" x14ac:dyDescent="0.2">
      <c r="A298" s="824"/>
      <c r="B298" s="836"/>
      <c r="C298" s="851"/>
      <c r="D298" s="836"/>
      <c r="E298" s="852"/>
      <c r="F298" s="828" t="s">
        <v>1020</v>
      </c>
      <c r="G298" s="850"/>
    </row>
    <row r="299" spans="1:9" x14ac:dyDescent="0.2">
      <c r="A299" s="853"/>
      <c r="B299" s="854">
        <v>64534520</v>
      </c>
      <c r="C299" s="836" t="s">
        <v>949</v>
      </c>
      <c r="D299" s="836"/>
      <c r="E299" s="836"/>
      <c r="F299" s="855">
        <f>17.687*B299/1000</f>
        <v>1141422.0552399999</v>
      </c>
      <c r="G299" s="856"/>
    </row>
    <row r="300" spans="1:9" x14ac:dyDescent="0.2">
      <c r="A300" s="857"/>
      <c r="B300" s="836" t="s">
        <v>939</v>
      </c>
      <c r="C300" s="839" t="s">
        <v>950</v>
      </c>
      <c r="D300" s="836"/>
      <c r="E300" s="836"/>
      <c r="F300" s="836"/>
      <c r="G300" s="850"/>
    </row>
    <row r="301" spans="1:9" x14ac:dyDescent="0.2">
      <c r="A301" s="858"/>
      <c r="B301" s="836" t="s">
        <v>940</v>
      </c>
      <c r="C301" s="836" t="s">
        <v>951</v>
      </c>
      <c r="D301" s="859"/>
      <c r="E301" s="859"/>
      <c r="F301" s="859"/>
      <c r="G301" s="850"/>
    </row>
    <row r="302" spans="1:9" x14ac:dyDescent="0.2">
      <c r="A302" s="857"/>
      <c r="B302" s="836" t="s">
        <v>941</v>
      </c>
      <c r="C302" s="860"/>
      <c r="D302" s="836"/>
      <c r="E302" s="836"/>
      <c r="F302" s="836"/>
      <c r="G302" s="850"/>
    </row>
    <row r="303" spans="1:9" x14ac:dyDescent="0.2">
      <c r="A303" s="857"/>
      <c r="B303" s="836" t="s">
        <v>942</v>
      </c>
      <c r="C303" s="861"/>
      <c r="D303" s="836"/>
      <c r="E303" s="836"/>
      <c r="F303" s="836"/>
      <c r="G303" s="850"/>
    </row>
    <row r="304" spans="1:9" x14ac:dyDescent="0.2">
      <c r="A304" s="857"/>
      <c r="B304" s="836" t="s">
        <v>943</v>
      </c>
      <c r="C304" s="836"/>
      <c r="D304" s="826"/>
      <c r="E304" s="836"/>
      <c r="F304" s="826"/>
      <c r="G304" s="862"/>
    </row>
    <row r="305" spans="1:7" x14ac:dyDescent="0.2">
      <c r="A305" s="857"/>
      <c r="B305" s="836" t="s">
        <v>952</v>
      </c>
      <c r="C305" s="836"/>
      <c r="D305" s="836"/>
      <c r="E305" s="836"/>
      <c r="F305" s="836"/>
      <c r="G305" s="850">
        <f>SUM(G303:G304)</f>
        <v>0</v>
      </c>
    </row>
    <row r="306" spans="1:7" x14ac:dyDescent="0.2">
      <c r="A306" s="857"/>
      <c r="B306" s="836" t="s">
        <v>878</v>
      </c>
      <c r="C306" s="836"/>
      <c r="D306" s="863" t="s">
        <v>961</v>
      </c>
      <c r="E306" s="864">
        <f>A299/1000</f>
        <v>0</v>
      </c>
      <c r="F306" s="836"/>
      <c r="G306" s="850"/>
    </row>
    <row r="307" spans="1:7" x14ac:dyDescent="0.2">
      <c r="A307" s="857"/>
      <c r="B307" s="836" t="s">
        <v>945</v>
      </c>
      <c r="C307" s="836"/>
      <c r="D307" s="836"/>
      <c r="E307" s="860"/>
      <c r="F307" s="860"/>
      <c r="G307" s="850"/>
    </row>
    <row r="308" spans="1:7" ht="13.5" thickBot="1" x14ac:dyDescent="0.25">
      <c r="A308" s="857"/>
      <c r="B308" s="836" t="s">
        <v>954</v>
      </c>
      <c r="C308" s="836"/>
      <c r="D308" s="865"/>
      <c r="E308" s="836"/>
      <c r="F308" s="836"/>
      <c r="G308" s="850"/>
    </row>
    <row r="309" spans="1:7" ht="13.5" thickBot="1" x14ac:dyDescent="0.25">
      <c r="A309" s="857"/>
      <c r="B309" s="866" t="s">
        <v>999</v>
      </c>
      <c r="C309" s="867"/>
      <c r="D309" s="868"/>
      <c r="E309" s="860"/>
      <c r="F309" s="869"/>
      <c r="G309" s="837"/>
    </row>
    <row r="310" spans="1:7" x14ac:dyDescent="0.2">
      <c r="A310" s="870" t="s">
        <v>962</v>
      </c>
      <c r="B310" s="871"/>
      <c r="C310" s="872">
        <v>1146108</v>
      </c>
      <c r="D310" s="873" t="s">
        <v>1021</v>
      </c>
      <c r="E310" s="860"/>
      <c r="F310" s="860"/>
      <c r="G310" s="874">
        <f>C310*1.055</f>
        <v>1209143.94</v>
      </c>
    </row>
    <row r="311" spans="1:7" x14ac:dyDescent="0.2">
      <c r="A311" s="870" t="s">
        <v>973</v>
      </c>
      <c r="B311" s="871"/>
      <c r="C311" s="875"/>
      <c r="D311" s="873" t="s">
        <v>1022</v>
      </c>
      <c r="E311" s="860"/>
      <c r="F311" s="860"/>
      <c r="G311" s="876"/>
    </row>
    <row r="312" spans="1:7" x14ac:dyDescent="0.2">
      <c r="A312" s="877">
        <v>41913</v>
      </c>
      <c r="B312" s="860"/>
      <c r="C312" s="860"/>
      <c r="D312" s="871" t="s">
        <v>964</v>
      </c>
      <c r="E312" s="860"/>
      <c r="F312" s="860"/>
      <c r="G312" s="874"/>
    </row>
    <row r="313" spans="1:7" x14ac:dyDescent="0.2">
      <c r="A313" s="878"/>
      <c r="B313" s="871"/>
      <c r="C313" s="875"/>
      <c r="D313" s="879" t="s">
        <v>1002</v>
      </c>
      <c r="E313" s="860"/>
      <c r="F313" s="880"/>
      <c r="G313" s="881"/>
    </row>
    <row r="314" spans="1:7" x14ac:dyDescent="0.2">
      <c r="A314" s="882" t="s">
        <v>976</v>
      </c>
      <c r="B314" s="883">
        <v>1043825</v>
      </c>
      <c r="C314" s="871" t="s">
        <v>1003</v>
      </c>
      <c r="D314" s="871" t="s">
        <v>1004</v>
      </c>
      <c r="E314" s="860"/>
      <c r="F314" s="884">
        <f>B323-B324</f>
        <v>-0.19463557851131696</v>
      </c>
      <c r="G314" s="874">
        <f>G312-G313</f>
        <v>0</v>
      </c>
    </row>
    <row r="315" spans="1:7" x14ac:dyDescent="0.2">
      <c r="A315" s="882" t="s">
        <v>978</v>
      </c>
      <c r="B315" s="885">
        <v>1.7686E-2</v>
      </c>
      <c r="C315" s="871" t="s">
        <v>1006</v>
      </c>
      <c r="D315" s="871"/>
      <c r="E315" s="860"/>
      <c r="F315" s="860"/>
      <c r="G315" s="886"/>
    </row>
    <row r="316" spans="1:7" x14ac:dyDescent="0.2">
      <c r="A316" s="882" t="s">
        <v>980</v>
      </c>
      <c r="B316" s="883">
        <v>205740</v>
      </c>
      <c r="C316" s="871" t="s">
        <v>981</v>
      </c>
      <c r="D316" s="871"/>
      <c r="E316" s="860"/>
      <c r="F316" s="860"/>
      <c r="G316" s="886"/>
    </row>
    <row r="317" spans="1:7" x14ac:dyDescent="0.2">
      <c r="A317" s="882" t="s">
        <v>982</v>
      </c>
      <c r="B317" s="883">
        <v>3639</v>
      </c>
      <c r="C317" s="871" t="s">
        <v>1009</v>
      </c>
      <c r="D317" s="871"/>
      <c r="E317" s="860"/>
      <c r="F317" s="860"/>
      <c r="G317" s="886"/>
    </row>
    <row r="318" spans="1:7" x14ac:dyDescent="0.2">
      <c r="A318" s="882" t="s">
        <v>984</v>
      </c>
      <c r="B318" s="883">
        <v>1047464</v>
      </c>
      <c r="C318" s="871" t="s">
        <v>985</v>
      </c>
      <c r="D318" s="871"/>
      <c r="E318" s="860"/>
      <c r="F318" s="860"/>
      <c r="G318" s="886"/>
    </row>
    <row r="319" spans="1:7" x14ac:dyDescent="0.2">
      <c r="A319" s="882" t="s">
        <v>986</v>
      </c>
      <c r="B319" s="883">
        <v>1105074</v>
      </c>
      <c r="C319" s="871" t="s">
        <v>987</v>
      </c>
      <c r="D319" s="871"/>
      <c r="E319" s="860"/>
      <c r="F319" s="860"/>
      <c r="G319" s="886"/>
    </row>
    <row r="320" spans="1:7" x14ac:dyDescent="0.2">
      <c r="A320" s="882" t="s">
        <v>988</v>
      </c>
      <c r="B320" s="883">
        <v>1105074</v>
      </c>
      <c r="C320" s="871" t="s">
        <v>989</v>
      </c>
      <c r="D320" s="871"/>
      <c r="E320" s="860"/>
      <c r="F320" s="860"/>
      <c r="G320" s="886"/>
    </row>
    <row r="321" spans="1:7" x14ac:dyDescent="0.2">
      <c r="A321" s="882" t="s">
        <v>990</v>
      </c>
      <c r="B321" s="883">
        <v>1105074</v>
      </c>
      <c r="C321" s="871" t="s">
        <v>1010</v>
      </c>
      <c r="D321" s="871"/>
      <c r="E321" s="860"/>
      <c r="F321" s="860"/>
      <c r="G321" s="886"/>
    </row>
    <row r="322" spans="1:7" x14ac:dyDescent="0.2">
      <c r="A322" s="882" t="s">
        <v>1011</v>
      </c>
      <c r="B322" s="885">
        <f>B321/63174650</f>
        <v>1.7492364421488684E-2</v>
      </c>
      <c r="C322" s="871" t="s">
        <v>992</v>
      </c>
      <c r="D322" s="871"/>
      <c r="E322" s="860"/>
      <c r="F322" s="860"/>
      <c r="G322" s="886"/>
    </row>
    <row r="323" spans="1:7" x14ac:dyDescent="0.2">
      <c r="A323" s="882" t="s">
        <v>1011</v>
      </c>
      <c r="B323" s="887">
        <f>B322*1000</f>
        <v>17.492364421488684</v>
      </c>
      <c r="C323" s="871" t="s">
        <v>993</v>
      </c>
      <c r="D323" s="871"/>
      <c r="E323" s="860"/>
      <c r="F323" s="860"/>
      <c r="G323" s="837"/>
    </row>
    <row r="324" spans="1:7" x14ac:dyDescent="0.2">
      <c r="A324" s="882" t="s">
        <v>1012</v>
      </c>
      <c r="B324" s="888">
        <v>17.687000000000001</v>
      </c>
      <c r="C324" s="860"/>
      <c r="D324" s="860"/>
      <c r="E324" s="860"/>
      <c r="F324" s="869"/>
      <c r="G324" s="837"/>
    </row>
    <row r="325" spans="1:7" ht="13.5" thickBot="1" x14ac:dyDescent="0.25">
      <c r="A325" s="889"/>
      <c r="B325" s="890" t="s">
        <v>994</v>
      </c>
      <c r="C325" s="891"/>
      <c r="D325" s="890"/>
      <c r="E325" s="892"/>
      <c r="F325" s="892"/>
      <c r="G325" s="893"/>
    </row>
    <row r="326" spans="1:7" ht="13.5" thickBot="1" x14ac:dyDescent="0.25">
      <c r="A326" s="894" t="s">
        <v>967</v>
      </c>
      <c r="B326" s="895"/>
      <c r="C326" s="890"/>
      <c r="D326" s="896"/>
      <c r="E326" s="897"/>
      <c r="F326" s="898"/>
      <c r="G326" s="893"/>
    </row>
  </sheetData>
  <pageMargins left="0.7" right="0.7" top="0.75" bottom="0.75" header="0.3" footer="0.3"/>
  <pageSetup scale="81" fitToHeight="0"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1"/>
  <sheetViews>
    <sheetView topLeftCell="A7" workbookViewId="0">
      <selection activeCell="B30" sqref="B30"/>
    </sheetView>
  </sheetViews>
  <sheetFormatPr defaultColWidth="8.85546875" defaultRowHeight="12.75" x14ac:dyDescent="0.2"/>
  <cols>
    <col min="1" max="1" width="13.5703125" style="5" bestFit="1" customWidth="1"/>
    <col min="2" max="2" width="37.5703125" style="5" bestFit="1" customWidth="1"/>
    <col min="3" max="3" width="8.85546875" style="5"/>
    <col min="4" max="4" width="24.85546875" style="5" bestFit="1" customWidth="1"/>
    <col min="5" max="5" width="22.7109375" style="5" bestFit="1" customWidth="1"/>
    <col min="6" max="6" width="12.7109375" style="5" bestFit="1" customWidth="1"/>
    <col min="7" max="7" width="8.85546875" style="5"/>
    <col min="8" max="8" width="12.7109375" style="5" bestFit="1" customWidth="1"/>
    <col min="9" max="9" width="8.85546875" style="5"/>
    <col min="10" max="10" width="16.5703125" style="5" customWidth="1"/>
    <col min="11" max="11" width="12.85546875" style="5" bestFit="1" customWidth="1"/>
    <col min="12" max="12" width="12.28515625" style="5" bestFit="1" customWidth="1"/>
    <col min="13" max="16384" width="8.85546875" style="5"/>
  </cols>
  <sheetData>
    <row r="1" spans="1:14" x14ac:dyDescent="0.2">
      <c r="A1" s="417" t="s">
        <v>437</v>
      </c>
      <c r="B1" s="418" t="s">
        <v>1026</v>
      </c>
      <c r="C1" s="419">
        <v>2011</v>
      </c>
      <c r="D1" s="420" t="s">
        <v>3</v>
      </c>
      <c r="E1" s="421">
        <v>2012</v>
      </c>
      <c r="F1" s="421" t="s">
        <v>3</v>
      </c>
      <c r="G1" s="421">
        <v>2013</v>
      </c>
      <c r="H1" s="421" t="s">
        <v>3</v>
      </c>
      <c r="I1" s="421" t="s">
        <v>5</v>
      </c>
      <c r="J1" s="3"/>
      <c r="K1" s="3"/>
      <c r="L1" s="3"/>
      <c r="M1" s="3"/>
      <c r="N1" s="3"/>
    </row>
    <row r="2" spans="1:14" x14ac:dyDescent="0.2">
      <c r="A2" s="422"/>
      <c r="B2" s="27"/>
      <c r="C2" s="423" t="s">
        <v>919</v>
      </c>
      <c r="D2" s="423" t="s">
        <v>1027</v>
      </c>
      <c r="E2" s="421" t="s">
        <v>6</v>
      </c>
      <c r="F2" s="424">
        <v>41274</v>
      </c>
      <c r="G2" s="421" t="s">
        <v>6</v>
      </c>
      <c r="H2" s="424">
        <v>41364</v>
      </c>
      <c r="I2" s="421" t="s">
        <v>1028</v>
      </c>
      <c r="J2" s="3"/>
      <c r="K2" s="3"/>
      <c r="L2" s="3"/>
      <c r="M2" s="3"/>
      <c r="N2" s="3"/>
    </row>
    <row r="3" spans="1:14" x14ac:dyDescent="0.2">
      <c r="A3" s="425"/>
      <c r="B3" s="19" t="s">
        <v>93</v>
      </c>
      <c r="C3" s="426"/>
      <c r="D3" s="426"/>
      <c r="E3" s="6"/>
      <c r="F3" s="6"/>
      <c r="G3" s="427" t="s">
        <v>1029</v>
      </c>
      <c r="H3" s="427"/>
      <c r="I3" s="428"/>
      <c r="J3" s="3"/>
      <c r="K3" s="3"/>
      <c r="L3" s="3"/>
      <c r="M3" s="3"/>
      <c r="N3" s="3"/>
    </row>
    <row r="4" spans="1:14" x14ac:dyDescent="0.2">
      <c r="A4" s="422">
        <v>70300</v>
      </c>
      <c r="B4" s="19" t="s">
        <v>438</v>
      </c>
      <c r="C4" s="429">
        <v>88582.3</v>
      </c>
      <c r="D4" s="230">
        <v>86455.679999999993</v>
      </c>
      <c r="E4" s="430" t="s">
        <v>1030</v>
      </c>
      <c r="F4" s="430"/>
      <c r="G4" s="431">
        <v>25500</v>
      </c>
      <c r="H4" s="230">
        <v>0</v>
      </c>
      <c r="I4" s="432"/>
      <c r="J4" s="3"/>
      <c r="K4" s="3"/>
      <c r="L4" s="3"/>
      <c r="M4" s="3"/>
      <c r="N4" s="3"/>
    </row>
    <row r="5" spans="1:14" x14ac:dyDescent="0.2">
      <c r="A5" s="422">
        <v>70301</v>
      </c>
      <c r="B5" s="19" t="s">
        <v>439</v>
      </c>
      <c r="C5" s="429">
        <v>40000</v>
      </c>
      <c r="D5" s="230">
        <v>0</v>
      </c>
      <c r="E5" s="230">
        <v>30000</v>
      </c>
      <c r="F5" s="230">
        <v>0</v>
      </c>
      <c r="G5" s="230">
        <v>30000</v>
      </c>
      <c r="H5" s="230">
        <v>0</v>
      </c>
      <c r="I5" s="432">
        <f t="shared" ref="I5:I10" si="0">H5/G5</f>
        <v>0</v>
      </c>
      <c r="J5" s="3"/>
      <c r="K5" s="3"/>
      <c r="L5" s="3"/>
      <c r="M5" s="3"/>
      <c r="N5" s="3"/>
    </row>
    <row r="6" spans="1:14" x14ac:dyDescent="0.2">
      <c r="A6" s="425">
        <v>70500</v>
      </c>
      <c r="B6" s="429" t="s">
        <v>440</v>
      </c>
      <c r="C6" s="429">
        <v>0</v>
      </c>
      <c r="D6" s="433">
        <v>0</v>
      </c>
      <c r="E6" s="433">
        <v>0</v>
      </c>
      <c r="F6" s="433">
        <v>0</v>
      </c>
      <c r="G6" s="433">
        <v>58000</v>
      </c>
      <c r="H6" s="433">
        <v>0</v>
      </c>
      <c r="I6" s="432">
        <f t="shared" si="0"/>
        <v>0</v>
      </c>
      <c r="J6" s="3"/>
      <c r="K6" s="3"/>
      <c r="L6" s="3"/>
      <c r="M6" s="3"/>
      <c r="N6" s="3"/>
    </row>
    <row r="7" spans="1:14" x14ac:dyDescent="0.2">
      <c r="A7" s="422">
        <v>70600</v>
      </c>
      <c r="B7" s="429" t="s">
        <v>441</v>
      </c>
      <c r="C7" s="429">
        <v>0</v>
      </c>
      <c r="D7" s="433">
        <v>0</v>
      </c>
      <c r="E7" s="433">
        <v>0</v>
      </c>
      <c r="F7" s="433">
        <v>1477.98</v>
      </c>
      <c r="G7" s="433">
        <v>1244</v>
      </c>
      <c r="H7" s="433">
        <v>900</v>
      </c>
      <c r="I7" s="432">
        <f t="shared" si="0"/>
        <v>0.72347266881028938</v>
      </c>
      <c r="J7" s="3"/>
      <c r="K7" s="3"/>
      <c r="L7" s="3"/>
      <c r="M7" s="3"/>
      <c r="N7" s="3"/>
    </row>
    <row r="8" spans="1:14" x14ac:dyDescent="0.2">
      <c r="A8" s="422">
        <v>80100</v>
      </c>
      <c r="B8" s="429" t="s">
        <v>442</v>
      </c>
      <c r="C8" s="429">
        <v>0.01</v>
      </c>
      <c r="D8" s="433">
        <v>0</v>
      </c>
      <c r="E8" s="433">
        <v>82984</v>
      </c>
      <c r="F8" s="433">
        <v>82955.13</v>
      </c>
      <c r="G8" s="434">
        <v>0.01</v>
      </c>
      <c r="H8" s="433">
        <v>0</v>
      </c>
      <c r="I8" s="432">
        <f t="shared" si="0"/>
        <v>0</v>
      </c>
      <c r="J8" s="3"/>
      <c r="K8" s="3"/>
      <c r="L8" s="3"/>
      <c r="M8" s="3"/>
      <c r="N8" s="3"/>
    </row>
    <row r="9" spans="1:14" x14ac:dyDescent="0.2">
      <c r="A9" s="422">
        <v>80200</v>
      </c>
      <c r="B9" s="429" t="s">
        <v>443</v>
      </c>
      <c r="C9" s="429">
        <v>0.01</v>
      </c>
      <c r="D9" s="433">
        <v>0</v>
      </c>
      <c r="E9" s="433">
        <v>5599</v>
      </c>
      <c r="F9" s="433">
        <v>3250.3</v>
      </c>
      <c r="G9" s="433">
        <v>0.01</v>
      </c>
      <c r="H9" s="433">
        <v>0</v>
      </c>
      <c r="I9" s="432">
        <f t="shared" si="0"/>
        <v>0</v>
      </c>
      <c r="J9" s="3"/>
      <c r="K9" s="3"/>
      <c r="L9" s="3"/>
      <c r="M9" s="3"/>
      <c r="N9" s="3"/>
    </row>
    <row r="10" spans="1:14" x14ac:dyDescent="0.2">
      <c r="A10" s="425"/>
      <c r="B10" s="435" t="s">
        <v>116</v>
      </c>
      <c r="C10" s="436">
        <f>SUM(C4:C9)</f>
        <v>128582.31999999999</v>
      </c>
      <c r="D10" s="436">
        <f>SUM(D4:D9)</f>
        <v>86455.679999999993</v>
      </c>
      <c r="E10" s="436">
        <f>SUM(E4:E9)</f>
        <v>118583</v>
      </c>
      <c r="F10" s="436">
        <f>SUM(F5:F9)</f>
        <v>87683.41</v>
      </c>
      <c r="G10" s="437">
        <f>SUM(G4:G9)</f>
        <v>114744.01999999999</v>
      </c>
      <c r="H10" s="437">
        <f>SUM(H5:H9)</f>
        <v>900</v>
      </c>
      <c r="I10" s="432">
        <f t="shared" si="0"/>
        <v>7.8435460078878187E-3</v>
      </c>
      <c r="J10" s="3"/>
      <c r="K10" s="3"/>
      <c r="L10" s="3"/>
      <c r="M10" s="3"/>
      <c r="N10" s="3"/>
    </row>
    <row r="11" spans="1:14" x14ac:dyDescent="0.2">
      <c r="A11" s="4"/>
      <c r="B11" s="3"/>
      <c r="C11" s="3"/>
      <c r="D11" s="3"/>
      <c r="E11" s="3"/>
      <c r="F11" s="19"/>
      <c r="G11" s="4"/>
      <c r="H11" s="4"/>
      <c r="I11" s="4"/>
      <c r="J11" s="438" t="s">
        <v>1031</v>
      </c>
      <c r="K11" s="438"/>
      <c r="L11" s="438"/>
      <c r="M11" s="3"/>
      <c r="N11" s="3"/>
    </row>
    <row r="12" spans="1:14" x14ac:dyDescent="0.2">
      <c r="A12" s="439" t="s">
        <v>1032</v>
      </c>
      <c r="B12" s="439" t="s">
        <v>1033</v>
      </c>
      <c r="C12" s="439" t="s">
        <v>1034</v>
      </c>
      <c r="D12" s="439" t="s">
        <v>945</v>
      </c>
      <c r="E12" s="439" t="s">
        <v>1035</v>
      </c>
      <c r="F12" s="440" t="s">
        <v>1033</v>
      </c>
      <c r="G12" s="440" t="s">
        <v>1034</v>
      </c>
      <c r="H12" s="441" t="s">
        <v>945</v>
      </c>
      <c r="I12" s="439" t="s">
        <v>1032</v>
      </c>
      <c r="J12" s="439" t="s">
        <v>1033</v>
      </c>
      <c r="K12" s="439" t="s">
        <v>1034</v>
      </c>
      <c r="L12" s="439" t="s">
        <v>1036</v>
      </c>
      <c r="M12" s="439" t="s">
        <v>1035</v>
      </c>
      <c r="N12" s="3"/>
    </row>
    <row r="13" spans="1:14" x14ac:dyDescent="0.2">
      <c r="A13" s="442" t="s">
        <v>1037</v>
      </c>
      <c r="B13" s="443">
        <v>51924.88</v>
      </c>
      <c r="C13" s="443">
        <v>2154.87</v>
      </c>
      <c r="D13" s="443">
        <v>54079.75</v>
      </c>
      <c r="E13" s="444">
        <v>2010</v>
      </c>
      <c r="F13" s="445">
        <v>149350</v>
      </c>
      <c r="G13" s="432">
        <v>4.1500000000000002E-2</v>
      </c>
      <c r="H13" s="433">
        <f>F13*1.0415</f>
        <v>155548.02500000002</v>
      </c>
      <c r="I13" s="442" t="s">
        <v>1037</v>
      </c>
      <c r="J13" s="443">
        <f>186350-37000</f>
        <v>149350</v>
      </c>
      <c r="K13" s="443"/>
      <c r="L13" s="443">
        <v>51820.47</v>
      </c>
      <c r="M13" s="444">
        <v>2010</v>
      </c>
      <c r="N13" s="3"/>
    </row>
    <row r="14" spans="1:14" x14ac:dyDescent="0.2">
      <c r="A14" s="19" t="s">
        <v>1038</v>
      </c>
      <c r="B14" s="446">
        <v>34164.519999999997</v>
      </c>
      <c r="C14" s="446">
        <v>338.03</v>
      </c>
      <c r="D14" s="446">
        <v>34502.550000000003</v>
      </c>
      <c r="E14" s="447">
        <v>2010</v>
      </c>
      <c r="F14" s="448">
        <v>98800</v>
      </c>
      <c r="G14" s="432">
        <v>4.1500000000000002E-2</v>
      </c>
      <c r="H14" s="449">
        <f>F14*1.0415</f>
        <v>102900.20000000001</v>
      </c>
      <c r="I14" s="19" t="s">
        <v>1038</v>
      </c>
      <c r="J14" s="446">
        <f>119000-10000-10200</f>
        <v>98800</v>
      </c>
      <c r="K14" s="446"/>
      <c r="L14" s="446">
        <v>34384.959999999999</v>
      </c>
      <c r="M14" s="447">
        <v>2010</v>
      </c>
      <c r="N14" s="450">
        <f>L13+L14</f>
        <v>86205.43</v>
      </c>
    </row>
    <row r="15" spans="1:14" x14ac:dyDescent="0.2">
      <c r="A15" s="429"/>
      <c r="B15" s="446"/>
      <c r="C15" s="446"/>
      <c r="D15" s="446"/>
      <c r="E15" s="447"/>
      <c r="F15" s="451">
        <f>F13+F14</f>
        <v>248150</v>
      </c>
      <c r="G15" s="230">
        <f>F15*0.0415</f>
        <v>10298.225</v>
      </c>
      <c r="H15" s="230">
        <f>F15*1.0415</f>
        <v>258448.22500000003</v>
      </c>
      <c r="I15" s="429"/>
      <c r="J15" s="446"/>
      <c r="K15" s="446"/>
      <c r="L15" s="446"/>
      <c r="M15" s="447"/>
      <c r="N15" s="3"/>
    </row>
    <row r="16" spans="1:14" x14ac:dyDescent="0.2">
      <c r="A16" s="442" t="s">
        <v>1037</v>
      </c>
      <c r="B16" s="443">
        <v>47869.27</v>
      </c>
      <c r="C16" s="443">
        <v>6210.48</v>
      </c>
      <c r="D16" s="443">
        <v>54079.75</v>
      </c>
      <c r="E16" s="444" t="s">
        <v>1039</v>
      </c>
      <c r="F16" s="451"/>
      <c r="G16" s="230"/>
      <c r="H16" s="452"/>
      <c r="I16" s="442" t="s">
        <v>1037</v>
      </c>
      <c r="J16" s="443">
        <f>J13+K13-L13</f>
        <v>97529.53</v>
      </c>
      <c r="K16" s="443">
        <f>J16*0.0415</f>
        <v>4047.4754950000001</v>
      </c>
      <c r="L16" s="443">
        <v>52070.720000000001</v>
      </c>
      <c r="M16" s="444" t="s">
        <v>1039</v>
      </c>
      <c r="N16" s="3"/>
    </row>
    <row r="17" spans="1:14" x14ac:dyDescent="0.2">
      <c r="A17" s="19" t="s">
        <v>1038</v>
      </c>
      <c r="B17" s="446">
        <v>31807.73</v>
      </c>
      <c r="C17" s="446">
        <v>2694.82</v>
      </c>
      <c r="D17" s="446">
        <v>34502.550000000003</v>
      </c>
      <c r="E17" s="447" t="s">
        <v>1039</v>
      </c>
      <c r="F17" s="451"/>
      <c r="G17" s="230"/>
      <c r="H17" s="4"/>
      <c r="I17" s="19" t="s">
        <v>1038</v>
      </c>
      <c r="J17" s="446">
        <f>J14+K14-L14</f>
        <v>64415.040000000001</v>
      </c>
      <c r="K17" s="446">
        <f>J17*0.0415</f>
        <v>2673.2241600000002</v>
      </c>
      <c r="L17" s="446">
        <v>34384.959999999999</v>
      </c>
      <c r="M17" s="447" t="s">
        <v>1039</v>
      </c>
      <c r="N17" s="450"/>
    </row>
    <row r="18" spans="1:14" x14ac:dyDescent="0.2">
      <c r="A18" s="442" t="s">
        <v>1037</v>
      </c>
      <c r="B18" s="443">
        <v>49855.85</v>
      </c>
      <c r="C18" s="443">
        <v>4223.8999999999996</v>
      </c>
      <c r="D18" s="443">
        <v>54079.75</v>
      </c>
      <c r="E18" s="444" t="s">
        <v>1040</v>
      </c>
      <c r="F18" s="451"/>
      <c r="G18" s="230"/>
      <c r="H18" s="4"/>
      <c r="I18" s="442" t="s">
        <v>1037</v>
      </c>
      <c r="J18" s="443">
        <f>J16+K16-L16</f>
        <v>49506.285495000004</v>
      </c>
      <c r="K18" s="443">
        <f>J18*0.0415</f>
        <v>2054.5108480425001</v>
      </c>
      <c r="L18" s="443">
        <v>51820.47</v>
      </c>
      <c r="M18" s="444" t="s">
        <v>1040</v>
      </c>
      <c r="N18" s="3"/>
    </row>
    <row r="19" spans="1:14" x14ac:dyDescent="0.2">
      <c r="A19" s="19" t="s">
        <v>1038</v>
      </c>
      <c r="B19" s="446">
        <v>33127.75</v>
      </c>
      <c r="C19" s="446">
        <v>1374.8</v>
      </c>
      <c r="D19" s="446">
        <v>34502.550000000003</v>
      </c>
      <c r="E19" s="447" t="s">
        <v>1040</v>
      </c>
      <c r="F19" s="451"/>
      <c r="G19" s="230"/>
      <c r="H19" s="4"/>
      <c r="I19" s="453" t="s">
        <v>1038</v>
      </c>
      <c r="J19" s="454">
        <f>J17+K17-L17</f>
        <v>32703.304160000007</v>
      </c>
      <c r="K19" s="454">
        <f>J19*0.0415</f>
        <v>1357.1871226400003</v>
      </c>
      <c r="L19" s="454">
        <v>34399.96</v>
      </c>
      <c r="M19" s="455" t="s">
        <v>1040</v>
      </c>
      <c r="N19" s="3"/>
    </row>
    <row r="20" spans="1:14" x14ac:dyDescent="0.2">
      <c r="A20" s="442" t="s">
        <v>1037</v>
      </c>
      <c r="B20" s="443"/>
      <c r="C20" s="443"/>
      <c r="D20" s="456">
        <f>D13+D16+D18</f>
        <v>162239.25</v>
      </c>
      <c r="E20" s="457" t="s">
        <v>1041</v>
      </c>
      <c r="F20" s="458"/>
      <c r="G20" s="230"/>
      <c r="H20" s="4"/>
      <c r="I20" s="442" t="s">
        <v>1042</v>
      </c>
      <c r="J20" s="443"/>
      <c r="K20" s="443">
        <f>SUM(K13:K19)</f>
        <v>10132.397625682501</v>
      </c>
      <c r="L20" s="456">
        <f>L13+L16+L18</f>
        <v>155711.66</v>
      </c>
      <c r="M20" s="457" t="s">
        <v>1036</v>
      </c>
      <c r="N20" s="3"/>
    </row>
    <row r="21" spans="1:14" ht="15" x14ac:dyDescent="0.35">
      <c r="A21" s="19" t="s">
        <v>1038</v>
      </c>
      <c r="B21" s="446"/>
      <c r="C21" s="446"/>
      <c r="D21" s="459">
        <f>D14+D17+D19</f>
        <v>103507.65000000001</v>
      </c>
      <c r="E21" s="460" t="s">
        <v>1041</v>
      </c>
      <c r="F21" s="461"/>
      <c r="G21" s="230"/>
      <c r="H21" s="4"/>
      <c r="I21" s="19" t="s">
        <v>359</v>
      </c>
      <c r="J21" s="446"/>
      <c r="K21" s="446">
        <f>G15-K20</f>
        <v>165.82737431749956</v>
      </c>
      <c r="L21" s="459">
        <f>L14+L17+L19</f>
        <v>103169.88</v>
      </c>
      <c r="M21" s="460" t="s">
        <v>1036</v>
      </c>
      <c r="N21" s="3"/>
    </row>
    <row r="22" spans="1:14" x14ac:dyDescent="0.2">
      <c r="A22" s="4"/>
      <c r="B22" s="3"/>
      <c r="C22" s="3"/>
      <c r="D22" s="462">
        <f>SUM(D20:D21)</f>
        <v>265746.90000000002</v>
      </c>
      <c r="E22" s="462"/>
      <c r="F22" s="463"/>
      <c r="G22" s="230"/>
      <c r="H22" s="4"/>
      <c r="I22" s="4"/>
      <c r="J22" s="450"/>
      <c r="K22" s="3"/>
      <c r="L22" s="462">
        <f>SUM(L20:L21)</f>
        <v>258881.54</v>
      </c>
      <c r="M22" s="462"/>
      <c r="N22" s="3"/>
    </row>
    <row r="23" spans="1:14" x14ac:dyDescent="0.2">
      <c r="A23" s="4"/>
      <c r="B23" s="3"/>
      <c r="C23" s="3"/>
      <c r="D23" s="3"/>
      <c r="E23" s="3"/>
      <c r="F23" s="3"/>
      <c r="G23" s="4"/>
      <c r="H23" s="4"/>
      <c r="I23" s="464" t="s">
        <v>1043</v>
      </c>
      <c r="J23" s="465"/>
      <c r="K23" s="465" t="s">
        <v>1044</v>
      </c>
      <c r="L23" s="3"/>
      <c r="M23" s="3"/>
      <c r="N23" s="3"/>
    </row>
    <row r="24" spans="1:14" x14ac:dyDescent="0.2">
      <c r="A24" s="4"/>
      <c r="B24" s="450">
        <f>SUM(B18:B22)</f>
        <v>82983.600000000006</v>
      </c>
      <c r="C24" s="450">
        <f>SUM(C18:C22)</f>
        <v>5598.7</v>
      </c>
      <c r="D24" s="450">
        <f>D18+D19</f>
        <v>88582.3</v>
      </c>
      <c r="E24" s="464" t="s">
        <v>1045</v>
      </c>
      <c r="F24" s="3"/>
      <c r="G24" s="4"/>
      <c r="H24" s="4" t="s">
        <v>1046</v>
      </c>
      <c r="I24" s="230">
        <f>L13+L14</f>
        <v>86205.43</v>
      </c>
      <c r="J24" s="463">
        <v>2010</v>
      </c>
      <c r="K24" s="450"/>
      <c r="L24" s="463"/>
      <c r="M24" s="3"/>
      <c r="N24" s="3"/>
    </row>
    <row r="25" spans="1:14" x14ac:dyDescent="0.2">
      <c r="A25" s="4"/>
      <c r="B25" s="3"/>
      <c r="C25" s="3"/>
      <c r="D25" s="450"/>
      <c r="E25" s="465" t="s">
        <v>1047</v>
      </c>
      <c r="F25" s="3"/>
      <c r="G25" s="4"/>
      <c r="H25" s="4"/>
      <c r="I25" s="230" t="e">
        <f>#REF!</f>
        <v>#REF!</v>
      </c>
      <c r="J25" s="463">
        <v>2011</v>
      </c>
      <c r="K25" s="450"/>
      <c r="L25" s="463"/>
      <c r="M25" s="3"/>
      <c r="N25" s="3"/>
    </row>
    <row r="26" spans="1:14" x14ac:dyDescent="0.2">
      <c r="A26" s="4"/>
      <c r="B26" s="3"/>
      <c r="C26" s="3"/>
      <c r="D26" s="3"/>
      <c r="E26" s="3">
        <v>39000</v>
      </c>
      <c r="F26" s="3"/>
      <c r="G26" s="4"/>
      <c r="H26" s="4"/>
      <c r="I26" s="230" t="e">
        <f>#REF!+#REF!</f>
        <v>#REF!</v>
      </c>
      <c r="J26" s="463">
        <v>2012</v>
      </c>
      <c r="K26" s="450"/>
      <c r="L26" s="463"/>
      <c r="M26" s="3"/>
      <c r="N26" s="3"/>
    </row>
    <row r="27" spans="1:14" x14ac:dyDescent="0.2">
      <c r="A27" s="433" t="e">
        <f>#REF!+153022</f>
        <v>#REF!</v>
      </c>
      <c r="B27" s="3"/>
      <c r="C27" s="3"/>
      <c r="D27" s="450">
        <f>D16+D17</f>
        <v>88582.3</v>
      </c>
      <c r="E27" s="3">
        <v>6100</v>
      </c>
      <c r="F27" s="3"/>
      <c r="G27" s="4"/>
      <c r="H27" s="4"/>
      <c r="I27" s="230"/>
      <c r="J27" s="463"/>
      <c r="K27" s="450"/>
      <c r="L27" s="463"/>
      <c r="M27" s="3"/>
      <c r="N27" s="3"/>
    </row>
    <row r="28" spans="1:14" x14ac:dyDescent="0.2">
      <c r="A28" s="433" t="e">
        <f>#REF!-1286764</f>
        <v>#REF!</v>
      </c>
      <c r="B28" s="3"/>
      <c r="C28" s="3"/>
      <c r="D28" s="3"/>
      <c r="E28" s="466">
        <v>125000</v>
      </c>
      <c r="F28" s="3"/>
      <c r="G28" s="4"/>
      <c r="H28" s="4"/>
      <c r="I28" s="443">
        <v>51820.47</v>
      </c>
      <c r="J28" s="467">
        <v>2010</v>
      </c>
      <c r="K28" s="450"/>
      <c r="L28" s="463"/>
      <c r="M28" s="3"/>
      <c r="N28" s="3"/>
    </row>
    <row r="29" spans="1:14" x14ac:dyDescent="0.2">
      <c r="A29" s="4"/>
      <c r="B29" s="3"/>
      <c r="C29" s="3"/>
      <c r="D29" s="3"/>
      <c r="E29" s="468">
        <f>SUM(E26:E28)</f>
        <v>170100</v>
      </c>
      <c r="F29" s="3"/>
      <c r="G29" s="4"/>
      <c r="H29" s="4"/>
      <c r="I29" s="446">
        <v>34384.959999999999</v>
      </c>
      <c r="J29" s="467">
        <v>2010</v>
      </c>
      <c r="K29" s="450">
        <f>SUM(I28:I29)</f>
        <v>86205.43</v>
      </c>
      <c r="L29" s="3"/>
      <c r="M29" s="3"/>
      <c r="N29" s="3"/>
    </row>
    <row r="30" spans="1:14" x14ac:dyDescent="0.2">
      <c r="A30" s="4"/>
      <c r="B30" s="3"/>
      <c r="C30" s="3"/>
      <c r="D30" s="469" t="s">
        <v>1048</v>
      </c>
      <c r="E30" s="470"/>
      <c r="F30" s="3"/>
      <c r="G30" s="4"/>
      <c r="H30" s="4"/>
      <c r="I30" s="443">
        <v>52070.720000000001</v>
      </c>
      <c r="J30" s="467">
        <v>2011</v>
      </c>
      <c r="K30" s="450"/>
      <c r="L30" s="3"/>
      <c r="M30" s="3"/>
      <c r="N30" s="3"/>
    </row>
    <row r="31" spans="1:14" x14ac:dyDescent="0.2">
      <c r="A31" s="4"/>
      <c r="B31" s="3"/>
      <c r="C31" s="3"/>
      <c r="D31" s="469">
        <v>2013</v>
      </c>
      <c r="E31" s="470"/>
      <c r="F31" s="3"/>
      <c r="G31" s="4"/>
      <c r="H31" s="4"/>
      <c r="I31" s="446">
        <v>34384.959999999999</v>
      </c>
      <c r="J31" s="467">
        <v>2011</v>
      </c>
      <c r="K31" s="450">
        <f>SUM(I30:I31)</f>
        <v>86455.679999999993</v>
      </c>
      <c r="L31" s="3"/>
      <c r="M31" s="3"/>
      <c r="N31" s="3"/>
    </row>
    <row r="32" spans="1:14" x14ac:dyDescent="0.2">
      <c r="A32" s="4"/>
      <c r="B32" s="3"/>
      <c r="C32" s="3"/>
      <c r="D32" s="469">
        <f>(E26*1.02)/5</f>
        <v>7956</v>
      </c>
      <c r="E32" s="470"/>
      <c r="F32" s="3"/>
      <c r="G32" s="4"/>
      <c r="H32" s="4"/>
      <c r="I32" s="443">
        <v>51820.47</v>
      </c>
      <c r="J32" s="467">
        <v>2012</v>
      </c>
      <c r="K32" s="450"/>
      <c r="L32" s="3"/>
      <c r="M32" s="3"/>
      <c r="N32" s="3"/>
    </row>
    <row r="33" spans="1:14" x14ac:dyDescent="0.2">
      <c r="A33" s="461">
        <v>14596</v>
      </c>
      <c r="B33" s="471">
        <v>2010</v>
      </c>
      <c r="C33" s="3"/>
      <c r="D33" s="469">
        <f>(E27*1.02)/5</f>
        <v>1244.4000000000001</v>
      </c>
      <c r="E33" s="470"/>
      <c r="F33" s="3"/>
      <c r="G33" s="4"/>
      <c r="H33" s="4"/>
      <c r="I33" s="446">
        <v>34399.96</v>
      </c>
      <c r="J33" s="467">
        <v>2012</v>
      </c>
      <c r="K33" s="472">
        <f>SUM(I32:I33)</f>
        <v>86220.43</v>
      </c>
      <c r="L33" s="473"/>
      <c r="M33" s="3"/>
      <c r="N33" s="3"/>
    </row>
    <row r="34" spans="1:14" x14ac:dyDescent="0.2">
      <c r="A34" s="474">
        <v>13060</v>
      </c>
      <c r="B34" s="475">
        <v>2009</v>
      </c>
      <c r="C34" s="3"/>
      <c r="D34" s="476">
        <f>(E28*1.02)/5</f>
        <v>25500</v>
      </c>
      <c r="E34" s="470"/>
      <c r="F34" s="3"/>
      <c r="G34" s="4"/>
      <c r="H34" s="4"/>
      <c r="I34" s="4"/>
      <c r="J34" s="3" t="s">
        <v>945</v>
      </c>
      <c r="K34" s="450">
        <f ca="1">SUM(K29:K34)</f>
        <v>258881.53999999998</v>
      </c>
      <c r="L34" s="3"/>
      <c r="M34" s="3"/>
      <c r="N34" s="3"/>
    </row>
    <row r="35" spans="1:14" x14ac:dyDescent="0.2">
      <c r="A35" s="230">
        <f>SUM(A33:A34)</f>
        <v>27656</v>
      </c>
      <c r="B35" s="477">
        <v>2010</v>
      </c>
      <c r="C35" s="3"/>
      <c r="D35" s="469">
        <f>(E29*1.02)/5</f>
        <v>34700.400000000001</v>
      </c>
      <c r="E35" s="470"/>
      <c r="F35" s="3"/>
      <c r="G35" s="4"/>
      <c r="H35" s="4"/>
      <c r="I35" s="4"/>
      <c r="J35" s="3"/>
      <c r="K35" s="3"/>
      <c r="L35" s="3"/>
      <c r="M35" s="3"/>
      <c r="N35" s="3"/>
    </row>
    <row r="36" spans="1:14" x14ac:dyDescent="0.2">
      <c r="A36" s="4"/>
      <c r="B36" s="3"/>
      <c r="C36" s="3"/>
      <c r="D36" s="3"/>
      <c r="E36" s="3"/>
      <c r="F36" s="3"/>
      <c r="G36" s="4"/>
      <c r="H36" s="4"/>
      <c r="I36" s="4" t="s">
        <v>1049</v>
      </c>
      <c r="J36" s="450">
        <v>140.85</v>
      </c>
      <c r="K36" s="450"/>
      <c r="L36" s="3"/>
      <c r="M36" s="3"/>
      <c r="N36" s="3"/>
    </row>
    <row r="37" spans="1:14" x14ac:dyDescent="0.2">
      <c r="A37" s="4"/>
      <c r="B37" s="3"/>
      <c r="C37" s="3"/>
      <c r="D37" s="3"/>
      <c r="E37" s="3"/>
      <c r="F37" s="3"/>
      <c r="G37" s="4"/>
      <c r="H37" s="4"/>
      <c r="I37" s="4" t="s">
        <v>1050</v>
      </c>
      <c r="J37" s="450">
        <v>15</v>
      </c>
      <c r="K37" s="450"/>
      <c r="L37" s="3"/>
      <c r="M37" s="3"/>
      <c r="N37" s="3"/>
    </row>
    <row r="38" spans="1:14" x14ac:dyDescent="0.2">
      <c r="A38" s="4"/>
      <c r="B38" s="3"/>
      <c r="C38" s="3"/>
      <c r="D38" s="3"/>
      <c r="E38" s="3"/>
      <c r="F38" s="3"/>
      <c r="G38" s="4"/>
      <c r="H38" s="4"/>
      <c r="I38" s="4" t="s">
        <v>1051</v>
      </c>
      <c r="J38" s="450">
        <v>7.25</v>
      </c>
      <c r="K38" s="450"/>
      <c r="L38" s="3"/>
      <c r="M38" s="3"/>
      <c r="N38" s="3"/>
    </row>
    <row r="39" spans="1:14" x14ac:dyDescent="0.2">
      <c r="A39" s="4"/>
      <c r="B39" s="3"/>
      <c r="C39" s="3"/>
      <c r="D39" s="3"/>
      <c r="E39" s="3"/>
      <c r="F39" s="3"/>
      <c r="G39" s="4"/>
      <c r="H39" s="4"/>
      <c r="I39" s="4"/>
      <c r="J39" s="468">
        <f>SUM(J36:J38)</f>
        <v>163.1</v>
      </c>
      <c r="K39" s="3"/>
      <c r="L39" s="3"/>
      <c r="M39" s="3"/>
      <c r="N39" s="3"/>
    </row>
    <row r="40" spans="1:14" x14ac:dyDescent="0.2">
      <c r="A40" s="4"/>
      <c r="B40" s="3"/>
      <c r="C40" s="3"/>
      <c r="D40" s="3"/>
      <c r="E40" s="3"/>
      <c r="F40" s="3"/>
      <c r="G40" s="4"/>
      <c r="H40" s="4"/>
      <c r="I40" s="4"/>
      <c r="J40" s="3"/>
      <c r="K40" s="3"/>
      <c r="L40" s="3"/>
      <c r="M40" s="3"/>
      <c r="N40" s="3"/>
    </row>
    <row r="41" spans="1:14" x14ac:dyDescent="0.2">
      <c r="A41" s="4"/>
      <c r="B41" s="3"/>
      <c r="C41" s="3"/>
      <c r="D41" s="3"/>
      <c r="E41" s="3"/>
      <c r="F41" s="3"/>
      <c r="G41" s="4"/>
      <c r="H41" s="4"/>
      <c r="I41" s="4"/>
      <c r="J41" s="3"/>
      <c r="K41" s="3"/>
      <c r="L41" s="3"/>
      <c r="M41" s="3"/>
      <c r="N4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</vt:lpstr>
      <vt:lpstr>mil calc</vt:lpstr>
      <vt:lpstr>cap out</vt:lpstr>
      <vt:lpstr>budget!Print_Area</vt:lpstr>
      <vt:lpstr>'mil calc'!Print_Area</vt:lpstr>
      <vt:lpstr>budget!Print_Titles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McNitt</dc:creator>
  <cp:lastModifiedBy>Sandy Hines</cp:lastModifiedBy>
  <cp:lastPrinted>2018-01-02T19:25:59Z</cp:lastPrinted>
  <dcterms:created xsi:type="dcterms:W3CDTF">2016-02-18T17:02:54Z</dcterms:created>
  <dcterms:modified xsi:type="dcterms:W3CDTF">2020-07-15T21:13:38Z</dcterms:modified>
</cp:coreProperties>
</file>